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730575\Desktop\"/>
    </mc:Choice>
  </mc:AlternateContent>
  <bookViews>
    <workbookView xWindow="0" yWindow="0" windowWidth="15360" windowHeight="8340" tabRatio="695"/>
  </bookViews>
  <sheets>
    <sheet name="صفحه اصلی" sheetId="6" r:id="rId1"/>
    <sheet name="2" sheetId="3" r:id="rId2"/>
    <sheet name="3" sheetId="2" r:id="rId3"/>
    <sheet name="4" sheetId="4" r:id="rId4"/>
    <sheet name="5" sheetId="5" r:id="rId5"/>
    <sheet name="6" sheetId="10" r:id="rId6"/>
    <sheet name="7" sheetId="11" r:id="rId7"/>
    <sheet name="8" sheetId="12" r:id="rId8"/>
    <sheet name="9" sheetId="13" r:id="rId9"/>
    <sheet name="10" sheetId="16" r:id="rId10"/>
    <sheet name="11" sheetId="17" r:id="rId11"/>
    <sheet name="12" sheetId="18" r:id="rId12"/>
  </sheets>
  <calcPr calcId="162913"/>
</workbook>
</file>

<file path=xl/calcChain.xml><?xml version="1.0" encoding="utf-8"?>
<calcChain xmlns="http://schemas.openxmlformats.org/spreadsheetml/2006/main">
  <c r="R87" i="4" l="1"/>
  <c r="S87" i="4"/>
  <c r="N38" i="17"/>
  <c r="O38" i="17"/>
  <c r="N37" i="17"/>
  <c r="O37" i="17"/>
  <c r="N4" i="17" l="1"/>
  <c r="N36" i="17" l="1"/>
  <c r="O36" i="17"/>
  <c r="E22" i="18" l="1"/>
  <c r="I8" i="18"/>
  <c r="E24" i="18" s="1"/>
  <c r="N4" i="18"/>
  <c r="N3" i="18"/>
  <c r="S87" i="17"/>
  <c r="R87" i="17"/>
  <c r="S78" i="17"/>
  <c r="R78" i="17"/>
  <c r="S68" i="17"/>
  <c r="R68" i="17"/>
  <c r="S58" i="17"/>
  <c r="R58" i="17"/>
  <c r="S48" i="17"/>
  <c r="R48" i="17"/>
  <c r="S38" i="17"/>
  <c r="R38" i="17"/>
  <c r="O35" i="17"/>
  <c r="N35" i="17"/>
  <c r="O34" i="17"/>
  <c r="N34" i="17"/>
  <c r="O33" i="17"/>
  <c r="N33" i="17"/>
  <c r="O32" i="17"/>
  <c r="N32" i="17"/>
  <c r="O31" i="17"/>
  <c r="N31" i="17"/>
  <c r="O30" i="17"/>
  <c r="N30" i="17"/>
  <c r="O29" i="17"/>
  <c r="N29" i="17"/>
  <c r="S28" i="17"/>
  <c r="R28" i="17"/>
  <c r="O28" i="17"/>
  <c r="N28" i="17"/>
  <c r="O27" i="17"/>
  <c r="N27" i="17"/>
  <c r="O26" i="17"/>
  <c r="N26" i="17"/>
  <c r="O25" i="17"/>
  <c r="N25" i="17"/>
  <c r="O24" i="17"/>
  <c r="N24" i="17"/>
  <c r="O23" i="17"/>
  <c r="N23" i="17"/>
  <c r="O22" i="17"/>
  <c r="N22" i="17"/>
  <c r="O21" i="17"/>
  <c r="N21" i="17"/>
  <c r="O20" i="17"/>
  <c r="N20" i="17"/>
  <c r="O19" i="17"/>
  <c r="N19" i="17"/>
  <c r="S18" i="17"/>
  <c r="R18" i="17"/>
  <c r="O18" i="17"/>
  <c r="N18" i="17"/>
  <c r="O17" i="17"/>
  <c r="N17" i="17"/>
  <c r="O16" i="17"/>
  <c r="N16" i="17"/>
  <c r="O15" i="17"/>
  <c r="N15" i="17"/>
  <c r="O14" i="17"/>
  <c r="N14" i="17"/>
  <c r="O13" i="17"/>
  <c r="N13" i="17"/>
  <c r="O12" i="17"/>
  <c r="N12" i="17"/>
  <c r="O11" i="17"/>
  <c r="N11" i="17"/>
  <c r="O10" i="17"/>
  <c r="N10" i="17"/>
  <c r="O9" i="17"/>
  <c r="N9" i="17"/>
  <c r="O8" i="17"/>
  <c r="N8" i="17"/>
  <c r="O7" i="17"/>
  <c r="N7" i="17"/>
  <c r="O6" i="17"/>
  <c r="N6" i="17"/>
  <c r="O5" i="17"/>
  <c r="N5" i="17"/>
  <c r="O4" i="17"/>
  <c r="O3" i="17"/>
  <c r="N3" i="17"/>
  <c r="S2" i="17"/>
  <c r="R2" i="17"/>
  <c r="O2" i="17"/>
  <c r="N2" i="17"/>
  <c r="O40" i="17" l="1"/>
  <c r="N40" i="17"/>
  <c r="E26" i="18"/>
  <c r="S93" i="17"/>
  <c r="R93" i="17"/>
  <c r="N36" i="4"/>
  <c r="O36" i="4"/>
  <c r="E14" i="17" l="1"/>
  <c r="E12" i="17"/>
  <c r="E10" i="12"/>
  <c r="E8" i="12"/>
  <c r="E8" i="11"/>
  <c r="E10" i="11"/>
  <c r="E12" i="11"/>
  <c r="E14" i="11"/>
  <c r="E16" i="11" l="1"/>
  <c r="N2" i="4"/>
  <c r="O2" i="4"/>
  <c r="R2" i="4"/>
  <c r="S2" i="4"/>
  <c r="N3" i="4"/>
  <c r="O3" i="4"/>
  <c r="O4" i="4"/>
  <c r="N18" i="4"/>
  <c r="O18" i="4"/>
  <c r="R18" i="4"/>
  <c r="S18" i="4"/>
  <c r="N19" i="4"/>
  <c r="O19" i="4"/>
  <c r="G12" i="5" l="1"/>
  <c r="I8" i="2" l="1"/>
  <c r="O35" i="4"/>
  <c r="O34" i="4"/>
  <c r="O33" i="4"/>
  <c r="O32" i="4"/>
  <c r="O31" i="4"/>
  <c r="O30" i="4"/>
  <c r="O29" i="4"/>
  <c r="N35" i="4"/>
  <c r="N34" i="4"/>
  <c r="N33" i="4"/>
  <c r="N32" i="4"/>
  <c r="N31" i="4"/>
  <c r="N30" i="4"/>
  <c r="O28" i="4"/>
  <c r="O27" i="4"/>
  <c r="O26" i="4"/>
  <c r="O25" i="4"/>
  <c r="O24" i="4"/>
  <c r="N29" i="4"/>
  <c r="N28" i="4"/>
  <c r="N27" i="4"/>
  <c r="N26" i="4"/>
  <c r="N25" i="4"/>
  <c r="N24" i="4"/>
  <c r="N37" i="4"/>
  <c r="N5" i="4" l="1"/>
  <c r="O23" i="4"/>
  <c r="O22" i="4"/>
  <c r="O21" i="4"/>
  <c r="O20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N6" i="4"/>
  <c r="N7" i="4"/>
  <c r="N8" i="4"/>
  <c r="N9" i="4"/>
  <c r="N10" i="4"/>
  <c r="N11" i="4"/>
  <c r="N12" i="4"/>
  <c r="N13" i="4"/>
  <c r="N14" i="4"/>
  <c r="N15" i="4"/>
  <c r="N16" i="4"/>
  <c r="N17" i="4"/>
  <c r="N20" i="4"/>
  <c r="N21" i="4"/>
  <c r="N22" i="4"/>
  <c r="N23" i="4"/>
  <c r="S78" i="4"/>
  <c r="S68" i="4"/>
  <c r="S58" i="4"/>
  <c r="S48" i="4"/>
  <c r="S38" i="4"/>
  <c r="S28" i="4"/>
  <c r="R78" i="4"/>
  <c r="R68" i="4"/>
  <c r="R58" i="4"/>
  <c r="R48" i="4"/>
  <c r="R38" i="4"/>
  <c r="R28" i="4"/>
  <c r="E21" i="3"/>
  <c r="E23" i="3"/>
  <c r="S93" i="4" l="1"/>
  <c r="R93" i="4"/>
  <c r="D12" i="2"/>
  <c r="E14" i="2"/>
  <c r="N4" i="2"/>
  <c r="N3" i="2"/>
  <c r="O40" i="4"/>
  <c r="F70" i="3"/>
  <c r="F74" i="3"/>
  <c r="H61" i="3" s="1"/>
  <c r="F73" i="3"/>
  <c r="G68" i="3" s="1"/>
  <c r="F72" i="3"/>
  <c r="H59" i="3" s="1"/>
  <c r="F71" i="3"/>
  <c r="G66" i="3" s="1"/>
  <c r="E25" i="4" l="1"/>
  <c r="E27" i="4"/>
  <c r="N40" i="4"/>
  <c r="D10" i="2"/>
  <c r="E12" i="3"/>
  <c r="I58" i="3"/>
  <c r="G65" i="3"/>
  <c r="E70" i="3"/>
  <c r="I60" i="3"/>
  <c r="D71" i="3"/>
  <c r="E71" i="3"/>
  <c r="H58" i="3"/>
  <c r="E73" i="3"/>
  <c r="D73" i="3"/>
  <c r="G67" i="3"/>
  <c r="H60" i="3"/>
  <c r="G69" i="3"/>
  <c r="I57" i="3"/>
  <c r="E72" i="3"/>
  <c r="I59" i="3"/>
  <c r="E74" i="3"/>
  <c r="I61" i="3"/>
  <c r="D70" i="3"/>
  <c r="H57" i="3"/>
  <c r="D72" i="3"/>
  <c r="D74" i="3"/>
  <c r="E8" i="3" l="1"/>
  <c r="E18" i="3"/>
  <c r="E14" i="3"/>
  <c r="E16" i="3"/>
  <c r="E10" i="3"/>
</calcChain>
</file>

<file path=xl/comments1.xml><?xml version="1.0" encoding="utf-8"?>
<comments xmlns="http://schemas.openxmlformats.org/spreadsheetml/2006/main">
  <authors>
    <author>HS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در قسمت بهای خواسته یا محکوم به یک بار کلیک چپ نمایید و مبلغ را وارد نمایید.
محاسبه طبق آیین نامه تعرفه حق الوکاله، حق المشاوره و هزینه سفر وکلای دادگستری مصوب 1398/12/28</t>
        </r>
      </text>
    </comment>
  </commentList>
</comments>
</file>

<file path=xl/comments2.xml><?xml version="1.0" encoding="utf-8"?>
<comments xmlns="http://schemas.openxmlformats.org/spreadsheetml/2006/main">
  <authors>
    <author>HS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با یک بار کلیک چپ در قسمت مبلغ خواسته و وارد نمودن مبلغ، هزینه دادرسی محاسبه می گردد.</t>
        </r>
      </text>
    </comment>
  </commentList>
</comments>
</file>

<file path=xl/comments3.xml><?xml version="1.0" encoding="utf-8"?>
<comments xmlns="http://schemas.openxmlformats.org/spreadsheetml/2006/main">
  <authors>
    <author>HS</author>
  </authors>
  <commentList>
    <comment ref="F18" authorId="0" shapeId="0">
      <text>
        <r>
          <rPr>
            <b/>
            <sz val="9"/>
            <color indexed="81"/>
            <rFont val="Tahoma"/>
            <family val="2"/>
          </rPr>
          <t>می توانید با یک کلیک بر روی قسمت های سفید رنگ، تاریخ و مبلغ خود را وارد نمایید و یا تاریخ های سررسید و پرداخت را از طریق اسکرول تعیین نمایید.</t>
        </r>
      </text>
    </comment>
  </commentList>
</comments>
</file>

<file path=xl/comments4.xml><?xml version="1.0" encoding="utf-8"?>
<comments xmlns="http://schemas.openxmlformats.org/spreadsheetml/2006/main">
  <authors>
    <author>HS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هزینه اجرای احکام دعاوی مالی موضوع بند1 ماده 158 قانون اجرای احکام مدنی</t>
        </r>
      </text>
    </comment>
  </commentList>
</comments>
</file>

<file path=xl/comments5.xml><?xml version="1.0" encoding="utf-8"?>
<comments xmlns="http://schemas.openxmlformats.org/spreadsheetml/2006/main">
  <authors>
    <author>HS</author>
  </authors>
  <commentList>
    <comment ref="F2" authorId="0" shapeId="0">
      <text>
        <r>
          <rPr>
            <b/>
            <sz val="9"/>
            <color indexed="81"/>
            <rFont val="Tahoma"/>
          </rPr>
          <t xml:space="preserve">مبلغ قرارداد مندرج در قرارداد وکیل را وارد نمایید.
</t>
        </r>
      </text>
    </comment>
  </commentList>
</comments>
</file>

<file path=xl/comments6.xml><?xml version="1.0" encoding="utf-8"?>
<comments xmlns="http://schemas.openxmlformats.org/spreadsheetml/2006/main">
  <authors>
    <author>HS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میزان تمبر مالیاتی پرداخت نشده توسط وکیل را وارد نمایید و مبلغ حق الوکاله محاسبه شده بدوی یا تجدیدنظر را در قسمت ماشین حساب سمپ، جهت دریافت شناسه پرداخت وارد نمایید.</t>
        </r>
      </text>
    </comment>
  </commentList>
</comments>
</file>

<file path=xl/comments7.xml><?xml version="1.0" encoding="utf-8"?>
<comments xmlns="http://schemas.openxmlformats.org/spreadsheetml/2006/main">
  <authors>
    <author>HS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می توانید با یک کلیک بر روی قسمت های سفید رنگ، تاریخ و مبلغ خود را وارد نمایید و یا تاریخ های سررسید و پرداخت را از طریق اسکرول تعیین نمایید.</t>
        </r>
      </text>
    </comment>
  </commentList>
</comments>
</file>

<file path=xl/comments8.xml><?xml version="1.0" encoding="utf-8"?>
<comments xmlns="http://schemas.openxmlformats.org/spreadsheetml/2006/main">
  <authors>
    <author>HS</author>
    <author>yazahra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با یک بار کلیک چپ در قسمت مبلغ خواسته و وارد نمودن مبلغ هزینه دادرسی محاسبه می گردد.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تعداد خواندگان و اوراق پیوست دادخواست را وارد نمایید.</t>
        </r>
      </text>
    </comment>
  </commentList>
</comments>
</file>

<file path=xl/sharedStrings.xml><?xml version="1.0" encoding="utf-8"?>
<sst xmlns="http://schemas.openxmlformats.org/spreadsheetml/2006/main" count="364" uniqueCount="278">
  <si>
    <t>تاریخ پرداخت</t>
  </si>
  <si>
    <t>تاریخ سررسید</t>
  </si>
  <si>
    <t>محاسبه خسارت تاخیر تادیه ماهانه</t>
  </si>
  <si>
    <t>محاسبه نیم عشر دولتی</t>
  </si>
  <si>
    <t>ماه</t>
  </si>
  <si>
    <t>سال</t>
  </si>
  <si>
    <t>محاسبه بهای برگ دادخواست و اوراق پیوست</t>
  </si>
  <si>
    <t>بهای برگ دادخواست</t>
  </si>
  <si>
    <t>بهای اوراق پیوست دادخواست</t>
  </si>
  <si>
    <t>جمع</t>
  </si>
  <si>
    <t>عنوان</t>
  </si>
  <si>
    <t>حق الوکاله مرحله بدوی</t>
  </si>
  <si>
    <t>حق الوکاله مرحله تجدیدنظر</t>
  </si>
  <si>
    <t>تمبر مالیاتی مرحله بدوی</t>
  </si>
  <si>
    <t>تمبر مالیاتی مرحله تجدیدنظر</t>
  </si>
  <si>
    <t>تا مبلغ 50میلیون ریال</t>
  </si>
  <si>
    <t>مازاد از مبلغ 50میلیون ریال تا 2میلیارد ریال</t>
  </si>
  <si>
    <t>مازاد از مبلغ 2میلیارد ریال تا 10میلیارد ریال</t>
  </si>
  <si>
    <t>مازاد از مبلغ 10میلیارد ریال تا 30میلیارد ریال</t>
  </si>
  <si>
    <t>مازاد از مبلغ 30میلیارد ریال به بالا</t>
  </si>
  <si>
    <t>محاسبه میزان حق الوکاله موضوع ماشین حساب قضایی سیستم سمپ</t>
  </si>
  <si>
    <t>سال سررسید</t>
  </si>
  <si>
    <t>سال پرداخت</t>
  </si>
  <si>
    <t>محاسبه هزینه دادرسی دعاوی مالی</t>
  </si>
  <si>
    <t>تعداد خواندگان را وارد نمایید</t>
  </si>
  <si>
    <t>اگر حکم بدوی قطعی باشد</t>
  </si>
  <si>
    <t>حق الوکاله</t>
  </si>
  <si>
    <t>تمبر مالیاتی</t>
  </si>
  <si>
    <t>محاسبه خسارت تاخیر تادیه سالانه</t>
  </si>
  <si>
    <t>بهای خواسته یا محکوم به(ریال)</t>
  </si>
  <si>
    <t>مبلغ دین را وارد کنید(ریال)</t>
  </si>
  <si>
    <t>جمع(ریال)</t>
  </si>
  <si>
    <t>محاسبه</t>
  </si>
  <si>
    <t>مبلغ خواسته را وارد نمایید(ریال)</t>
  </si>
  <si>
    <t>مبلغ محکوم به را وارد نمایید</t>
  </si>
  <si>
    <t>صفحه اصلی</t>
  </si>
  <si>
    <t>راهنما</t>
  </si>
  <si>
    <t>میزان نیم عشر دولتی</t>
  </si>
  <si>
    <t>مقدار تاخیر تادیه(ریال)</t>
  </si>
  <si>
    <t>مجموع اصل و تاخیر تادیه(ریال)</t>
  </si>
  <si>
    <t>محاسبه تاخیر تادیه ماهانه</t>
  </si>
  <si>
    <t>محاسبه تاخیر تادیه سالانه</t>
  </si>
  <si>
    <t>هزینه های دادرسی</t>
  </si>
  <si>
    <t>در امور حقوقی</t>
  </si>
  <si>
    <t>20هزار ریال</t>
  </si>
  <si>
    <t>هزینه دادرسی دعاوی مالی در مرحله بدوی تا مبلغ 200میلیون ریال</t>
  </si>
  <si>
    <t>هزینه دادرسی دعاوی مالی در مرحله بدوی بیش از مبلغ 200میلیون ریال</t>
  </si>
  <si>
    <t>سه و نیم درصد خواسته</t>
  </si>
  <si>
    <t>بهای اوراق دادخواست و اظهارنامه و برگ اجرائیه دادگاهها هیات های حل اختلاف موضوع قانون کار برای هر برگ</t>
  </si>
  <si>
    <t>هزینه دادرسی دعاوی مالی در مرحله تجدیدنظر و واخواهی</t>
  </si>
  <si>
    <t>هزینه دادرسی دعاوی مالی در مرحله فرجام خواهی و اعاده دادرسی و اعتراض ثالث</t>
  </si>
  <si>
    <t>هزینه دادرسی در صورتی که قیمت خواسته در دعاوی مالی موقع دادخواست مشخص نباشد</t>
  </si>
  <si>
    <t>هزینه دادرسی در دعاوی غیرمالی، درخواست تامین دلیل و تامین خواسته در کلیه مراجع قضائی بسته به نوع دعوی</t>
  </si>
  <si>
    <t>هزینه درخواست تصویر از اوراق پرونده</t>
  </si>
  <si>
    <t>دو و نیم درصد خواسته</t>
  </si>
  <si>
    <t>چهار و نیم درصد خواسته</t>
  </si>
  <si>
    <t>پنج و نیم درصد خواسته</t>
  </si>
  <si>
    <t>1.500.000ریال</t>
  </si>
  <si>
    <t>هزینه دادرسی مرحله بدوی(ریال)</t>
  </si>
  <si>
    <t>هزینه دادرسی مرحله واخواهی و تجدیدنظرخواهی(ریال)</t>
  </si>
  <si>
    <t>هزینه دادرسی مرحله اعتراض ثالث و اعاده دادرسی و فرجام خواهی(ریال)</t>
  </si>
  <si>
    <t>محاسبه حق الوکاله و تمبر مالیاتی وکلا بر اساس خواسته یا محکوم به</t>
  </si>
  <si>
    <t>محاسبه حق الوکاله و تمبر مالیاتی وکلا بر اساس قرارداد وکالت</t>
  </si>
  <si>
    <t>از400هزار تا 1 میلیون و 800هزار ریال طبق بخشنامه</t>
  </si>
  <si>
    <t>50هزار ریال</t>
  </si>
  <si>
    <t xml:space="preserve">هزینه اعتراض و درخواست تجدیدنظر از قرارهای قابل تجدیدنظر در دادگاه و دیوان عالی کشور </t>
  </si>
  <si>
    <t>300هزار ریال</t>
  </si>
  <si>
    <t>هزینه تطبیق اوراق با اصل آنها در دفاتر دادگاه ها و دیوان عدالت اداری و سایر مراجع قضایی</t>
  </si>
  <si>
    <t>15هزار ریال</t>
  </si>
  <si>
    <t>هزینه صدور گواهی از دفاتر مراجع قضایی</t>
  </si>
  <si>
    <t>هزینه ابلاغ اظهارنامه و واخواست نامه در هر مورد</t>
  </si>
  <si>
    <t>100هزار ریال</t>
  </si>
  <si>
    <t>هزینه درخواست اجرای ماده 477 قانون آیین دادرسی کیفری مصوب 1392</t>
  </si>
  <si>
    <t>اجرای احکام مدنی</t>
  </si>
  <si>
    <t>هزینه اجرای احکام دعاوی مالی موضوع بند1 ماده 158 قانون اجرای احکام مدنی</t>
  </si>
  <si>
    <t>5درصد محکوم به</t>
  </si>
  <si>
    <t>هزینه اجرای احکام دعاوی غیرمالی و احکامی که محکوم به آن تقویم نشده و هزینه اجرای آرا و تصمیمات مراجع غیردادگستری</t>
  </si>
  <si>
    <t>از400هزار تا 1میلیون و 800هزار ریال طبق بخشنامه</t>
  </si>
  <si>
    <t>هزینه اجرای موقت احکام در کلیه مراجع قضایی</t>
  </si>
  <si>
    <t>هزینه اعتراض شخص ثالث به اجرای احکام مدنی</t>
  </si>
  <si>
    <t>200هزار ریال</t>
  </si>
  <si>
    <t>حق الوکاله مرحله بدوی(طبق تعرفه)</t>
  </si>
  <si>
    <t>حق الوکاله مرحله تجدیدنظر(طبق تعرفه)</t>
  </si>
  <si>
    <t>محاسبه حق الوکاله و تمبر مالیاتی بر اساس خواسته یا محکوم به</t>
  </si>
  <si>
    <t>تمبر مالیاتی مرحله تجدیدنظر(ریال)</t>
  </si>
  <si>
    <t>تمبر مالیاتی مرحله بدوی(ریال)</t>
  </si>
  <si>
    <t>حق الوکاله مرحله تجدیدنظر(ریال)</t>
  </si>
  <si>
    <t>حق الوکاله مرحله بدوی(ریال)</t>
  </si>
  <si>
    <t>جمع تمبر مالیاتی پرداختی(ریال)</t>
  </si>
  <si>
    <t>محاسبه حق الوکاله و تمبر مالیاتی بر اساس  قرارداد وکالت</t>
  </si>
  <si>
    <t>میزان تمبر مالیاتی  پرداخت نشده وکیل را وارد نمایید(ریال)</t>
  </si>
  <si>
    <t>((یا من هو سریع الحساب))</t>
  </si>
  <si>
    <t>در امور کیفری</t>
  </si>
  <si>
    <t>هزینه تقدیم شکایت کیفری</t>
  </si>
  <si>
    <t>100هزار ریال 
افراد ناتوان مالی به تشخیص دادستان 
یا رئیس حوزه قضایی از پرداخت این هزینه معاف هستند</t>
  </si>
  <si>
    <t>هزینه دادرسی در مرحله تجدیدنظر از احکام کیفری</t>
  </si>
  <si>
    <t>هزینه اعتراض به قرارهای قابل اعتراض دادسرا</t>
  </si>
  <si>
    <t>هزینه اعاده دادرسی کیفری در دیوان عالی کشور</t>
  </si>
  <si>
    <t>500هزار ریال</t>
  </si>
  <si>
    <t>هزینه درخواست اجرای ماده 477قانون آیین دادرسی کیفری مصوب1392</t>
  </si>
  <si>
    <t>تقدیم شکایت به دادسرای انتظامی قضات</t>
  </si>
  <si>
    <t>هزینه رسیدگی به شکایت کیفری علیه صادر کننده چک بی محل</t>
  </si>
  <si>
    <t>تا مبلغ یک میلیون ریال</t>
  </si>
  <si>
    <t>60هزار ریال</t>
  </si>
  <si>
    <t>نسبت به مازاد تا ده میلیون ریال</t>
  </si>
  <si>
    <t>نسبت به مازاد تا یکصد میلیون ریال</t>
  </si>
  <si>
    <t>400هزار ریال</t>
  </si>
  <si>
    <t>نسبت به مازاد بر یکصد میلیون ریال</t>
  </si>
  <si>
    <t>یک در هزار</t>
  </si>
  <si>
    <t>جدول هزینه های دادرسی دعاوی غیرمالی و ...</t>
  </si>
  <si>
    <t>ردیف</t>
  </si>
  <si>
    <t>بدوی</t>
  </si>
  <si>
    <t>اعاده دادرسی و اعتراض ثالث</t>
  </si>
  <si>
    <t>فرجام خواهی</t>
  </si>
  <si>
    <t>واخواهی</t>
  </si>
  <si>
    <t>تجدید نظر خواهی</t>
  </si>
  <si>
    <t>دعاوی مربوط به اموال غیرمنقول</t>
  </si>
  <si>
    <t>دعاوی مربوط به امور تجاری و شرکتها</t>
  </si>
  <si>
    <t>دعاوی راجع به اسناد سجلی</t>
  </si>
  <si>
    <t>امور حسبی</t>
  </si>
  <si>
    <t>750/000</t>
  </si>
  <si>
    <t>دعاوی مربوط به امور خانواده(موضوع
 صلاحیت دادگاه خانواده)و تامین خواسته 
و دستور موقت راجع به آن
 به استثناء دعاوی قابل فرجام</t>
  </si>
  <si>
    <t>400/000</t>
  </si>
  <si>
    <t>600/000</t>
  </si>
  <si>
    <t>1/000/000</t>
  </si>
  <si>
    <t>در خواست تامین خواسته و دستور موقت، 
به استثناء امور خانواده</t>
  </si>
  <si>
    <t>1/500/000</t>
  </si>
  <si>
    <t>1/800/000</t>
  </si>
  <si>
    <t>اعتراض به آراء مراجع غیردادگستری</t>
  </si>
  <si>
    <t>1/200/000</t>
  </si>
  <si>
    <t>دعاوی قابل فرجام</t>
  </si>
  <si>
    <t>سایر دعاوی</t>
  </si>
  <si>
    <t>جدول هزینه دادرسی دعاوی غیر مالی و ...</t>
  </si>
  <si>
    <t>آیین نامه تعرفه حق الوکاله ...</t>
  </si>
  <si>
    <t>آیین نامه تعرفه حق الوکاله، حق المشاوره و هزینه سفر وکلای دادگستری مصوب 1398/12/28</t>
  </si>
  <si>
    <t>در اجرای ماده 19 لایحه قانونی استقلال کانون وکلای دادگستری مصوب1333 و ماده 187 قانون برنامه سوم توسعه اقتصادی، اجتماعی و فرهنگی جمهوری اسلامی ایران مصوب 1379</t>
  </si>
  <si>
    <t>و به پیشنهاد کانون وکلای دادگستری مرکز و مرکز وکلاء، کارشناسان رسمی و مشاوران خانواده قوه قضاییه "آیین نامه تعرفه حق الوکاله، حق المشاوره و هزینه سفر وکلای دادگستری"</t>
  </si>
  <si>
    <t>به شرح مواد آتی است.</t>
  </si>
  <si>
    <t>الف – کانون: کانون وکلای دادگستری؛</t>
  </si>
  <si>
    <t>ب – مرکز: مرکز وکلا، کارشناسان رسمی و مشاوران خانواده قوه قضاییه؛</t>
  </si>
  <si>
    <t>پ – صندوق: صندوق حمایت وکلا؛</t>
  </si>
  <si>
    <t>ت- قانون مالیات‌ها: قانون مالیاتهای مستقیم مصوب ۱۳۶۶ با اصلاحات و الحاقات بعدی</t>
  </si>
  <si>
    <t xml:space="preserve">علیه، مالیات و سهم کانون، صندوق و سهم مرکز بر اساس این تعرفه خواهد بود. چنان چه میزان حق‌الوکاله در قرارداد کمتر از تعرفه موضوع این آیین‌نامه باشد، </t>
  </si>
  <si>
    <t>در مورد محکوم‌علیه مبلغ کمتر ملاک است.</t>
  </si>
  <si>
    <t xml:space="preserve">وکیل موظف است ضمن درج اصل حق الوکاله، معادل ارزش ریالی آن را در وکالتنامه اظهار نماید. چنانچه در نتیجه توافق وکیل و موکل و حسب وکالتنامه، مبلغ </t>
  </si>
  <si>
    <t xml:space="preserve">حق‌الوکاله مازاد بر تعرفه تعیین شده باشد. دادگاه نسبت به محکوم‌علیه تا حداکثر میزان تعرفه موضوع این آیین‌نامه رای خواهد داد، اما مبلغ على‌الحساب دریافتی از </t>
  </si>
  <si>
    <t>موکل مبنای ابطال تمبر على‌الحساب مالیاتی موضوع ماده ۱۰۳ قانون مالیات‌ها و سهم کانون، مرکز و صندوق می‌باشد.</t>
  </si>
  <si>
    <t xml:space="preserve">و انقلاب در امور مدنی مصوب ۱۳۷۹ بدواً جهت ابطال تمبر مالیاتی به وکیل اخطار صادر می‌گردد. تا زمان تکمیل تمبر مالیاتی، کلیه اخطاریه‌ها (به جز نقص تمبر </t>
  </si>
  <si>
    <t>مالیاتی) به موکل به عمل می‌آید.</t>
  </si>
  <si>
    <t xml:space="preserve">باشد. همچنین هر یک از  وکلا به نسبت سهم خود مکلف به ابطال تمبر مالیاتی، سهم کانون، مرکز و صندوق هستند، مگر آن که یکی از وکلا سهم دیگری را پرداخت </t>
  </si>
  <si>
    <t>نماید.</t>
  </si>
  <si>
    <t xml:space="preserve">وکالتنامه مشترک می‌توانند بهره ببرند و لوایح را نیز در سربرگ یکی از وکلا تقدیم نمایند، اما هر کدام از وکلا مکلفند، حقوق قانونی مربوط به سهم خود از حق‌الوکاله را </t>
  </si>
  <si>
    <t>حسب مورد به کانون، مرکز و صندوق حمایت بپردازند.</t>
  </si>
  <si>
    <t>على‌الحساب مالیاتی موضوع ماده ۱۰۳ قانون مالیات‌ها و پرداخت سهم کانون، مرکز و صندوق می‌باشد.</t>
  </si>
  <si>
    <t xml:space="preserve"> وکالتنامه و پرداخت سهم کانون، مرکز و صندوق نمی‌باشد.</t>
  </si>
  <si>
    <t>و صندوق معاف است.</t>
  </si>
  <si>
    <t xml:space="preserve">وکیل تسخیری یا معاضدتی دو برابر حداقل تعرفه موضوع این آیین‌نامه است و تا زمانی که وکیل حق‌الوکاله را دریافت نکرده باشند، نیازی به ابطال تمبر مالیاتی و </t>
  </si>
  <si>
    <t>پرداخت سهم کانون مرکز و صندوق نمی‌باشد.</t>
  </si>
  <si>
    <t xml:space="preserve"> بهای خواسته قطعی است، میزان حق‌الوکاله ده درصد بهای خواسته است و در صورت قطعی نبودن حکم از حیث خواسته یا بهای آن، به ترتیب زیر تعیین می‌شود:</t>
  </si>
  <si>
    <t>ب- نسبت به مازاد بر مبلغ پانصد میلیون ریال تا دو میلیارد ریال:هفت درصد بهای خواسته</t>
  </si>
  <si>
    <t>پ – نسبت به مازاد بر مبلغ دو میلیارد ریال تا ده میلیارد ریال: پنج درصد بهای خواسته</t>
  </si>
  <si>
    <t>ت- نسبت به مازاد بر مبلغ ده میلیارد ریال تا سی میلیارد ریال؛ چهار درصد بهای خواسته</t>
  </si>
  <si>
    <t>ث- از مبلغ سی میلیارد ریال به بالا سه درصد بهای خواسته</t>
  </si>
  <si>
    <t xml:space="preserve">مشخص نباشد، پس از تعیین قطعی بهای خواسته وکیل مکلف به ابطال مابه‌التفاوت علی‌الحساب تمبر مالیاتی نسبت به بهای قطعی خواسته است. چنانچه پیش از </t>
  </si>
  <si>
    <t>تعیین قطعی بهای خواسته به هر دلیلی دعوا رد شود، مطابق بند«ب» ماده ۱۳ این آیین‌نامه رفتار خواهد شد.</t>
  </si>
  <si>
    <t>یا به رای صادره در آن مرحله اعتراض کرده و یا خوانده، دعوای تقابل مطرح کرده است.</t>
  </si>
  <si>
    <t xml:space="preserve"> به حکم غیابی اعتراض شود، از جهت تعقیب و دفاع از حکم غیابی در مرحله واخواهی، حق‌الوکاله دیگری به وکیل محکوم له حکم غیابی تعلق نمی‌گیرد.</t>
  </si>
  <si>
    <t>الف– قرار ابطال داد خواسته پیش از پاسخ به دعوا و دفاع از آن یک چهارم حق‌الوکاله مرحله نخستین</t>
  </si>
  <si>
    <t>ب- قرار رد دادخواست پس از پاسخ به دعوا و دفاع از آن یک دوم حق‌الوکاله مرحله نخستین</t>
  </si>
  <si>
    <t>پ- به قرار عدم استماع یا رد دعوا به عللی مانند مرور زمان و اعتبار امر مختوم و رد تقاضای اعاده دادرسی: تمام حق‌الوکاله ای که برای حکم مقرر است.</t>
  </si>
  <si>
    <t>ت- قرار سقوط دعوای تجدیدنظر پیش از پاسخ به دعوا و دفاع از آن: یک چهارم حق‌الوکاله مرحله تجدیدنظر؛</t>
  </si>
  <si>
    <t>ث- قرار سقوط دعوای تجدیدنظر پس از پاسخ به دعوا و دفاع از آن یک دوم حق الوکاله مرحله تجدید نظر</t>
  </si>
  <si>
    <t>ج- حق‌الوکاله اعتراض به قرارهای حقوقی قابل اعتراض حداقل یک میلیون ریال و حداکثر یکصد میلیون ریال است.</t>
  </si>
  <si>
    <t>الف – مطلق دعاوی خانوادگی یا دعاوی مالی ناشی از زوجیت و هم چنین امور حسبی: حداقل مبلغ پنج میلیون ریال و حداکثر مبلغ دویست میلیون ریال؛</t>
  </si>
  <si>
    <t>ب- به دعاوی که خواسته آنها مالی نیست با تعیین بهای خواسته به موجب قانون لازم نیست؛ حداقل مبلغ چهار میلیون ریال و حداکثر مبلغ سیصد میلیون ریال.</t>
  </si>
  <si>
    <t>الف – جرایم داخل در صلاحیت رسیدگی دادگاههای کیفری یک نظامی یک و دادگاه انقلاب:</t>
  </si>
  <si>
    <t xml:space="preserve"> ب- جرایم داخل در صلاحیت رسیدگی دادگاههای کیفری دو و نظامی دو و اطفال و نوجوانان:</t>
  </si>
  <si>
    <t>۳۔ دیگر جرایم:حداقل مبلغ دو میلیون ریال و حداکثر دویست میلیون ریال</t>
  </si>
  <si>
    <t>۱- جرایم مستوجب مجازات‌های حدود، دیات و تعزیری درجه ۴ و ۵: حداقل مبلغ ده میلیون ریال و حداکثر پانصد میلیون ریال؛</t>
  </si>
  <si>
    <t>۲- جرایم مستوجب مجازات‌های تعزیری درجه ۶ حداقل مبلغ پنج میلیون ریال و حداکثر سیصد میلیون ریال؛</t>
  </si>
  <si>
    <t>۱- جرایم مستوجب مجازاتهای سلب حیات, قطع عضو،حبس ابد یا حبس تعزیری درجه یک: حداقل مبلغ پنجاه میلیون ریال و حداکثر دو میلیارد ریال</t>
  </si>
  <si>
    <t>۲- جرایم مستوجب مجازات‌های تعزیری درجه ۲ و ۳: حداقل مبلغ سی میلیون ریال و حداکثر یک میلیارد ریال</t>
  </si>
  <si>
    <t>۳۔ دیگر جرایم: حداقل مبلغ ده میلیون ریال و حداکثر پانصد میلیون ریال</t>
  </si>
  <si>
    <t>پ- اعتراض به قرارهای قابل اعتراض دادسرا: حداقل یک میلیون ریال و حداکثر یکصد و پنجاه میلیون ریال</t>
  </si>
  <si>
    <t>ت- فرجامخواهی کیفری، تقاضای اعاده دادرسی و تقاضای اعمال ماده ۴۷۷ آیین دادرسی کیفری:حداقل دو میلیون ریال و حداکثر دویست میلیون ریال؛</t>
  </si>
  <si>
    <t>ث – دعاوی که فقط وکلای تبصره ماده ۴۸ آیین دادرسی کیفری می‌توانند در آنها قبول وکالت نمایند: حداقل پنجاه میلیون ریال و حداکثر پانصد میلیون ریال.</t>
  </si>
  <si>
    <t xml:space="preserve">دادسراها و سی درصد مربوط به دادگاه بدوی و بیست درصد مربوط به تجدیدنظرخواهی است، در مواردی که رسیدگی فاقد مرحله دادسرا است، حق‌الوکاله مرحله </t>
  </si>
  <si>
    <t>دادسرا به حق‌الوکاله مرحله بدوی افزوده می‌گردد و در مواردی که حکم بدوی قطعی است حق‌الوکاله مرحله تجدیدنظر نیز در مرحله بدوی پرداخت می‌گردد.</t>
  </si>
  <si>
    <t>جدید، حق‌الوکاله آن مرحله نیز اضافه خواهد شد.</t>
  </si>
  <si>
    <t>حق‌الوکاله به تعرفه اضافه می‌گردد.</t>
  </si>
  <si>
    <t>مرحله نخستین و تجدیدنظر دعاوی کیفری و امور و دعاوی حقوقی مربوط است.</t>
  </si>
  <si>
    <t>ریال است.</t>
  </si>
  <si>
    <t xml:space="preserve"> غیر قضایی مانند هیأت‌های موضوع قانون کار مصوب ۱۳۶۹ حداقل مبلغ چهار میلیون ریال و حداکثر مبلغ دویست میلیون ریال است.</t>
  </si>
  <si>
    <t>تبصره – در صورتی که کانون یا مرکز گواهی وکالت تخصصی برای وکلا صادر کند، به حق‌الوکاله آنان در حدود صلاحیت تخصصی، ۱۰ درصد افزوده می‌گردد.</t>
  </si>
  <si>
    <t xml:space="preserve">اموری که خارج از دادگستری است (مانند داوری) با پس از طرح آن در دادگاه به خارج از دادگستری ارجاع و به صدور رأی منجر می‌شود و حق الوکاله دعاوی که در </t>
  </si>
  <si>
    <t>دادگاه با خارج دادگاه به صلح ختم می‌شود و نیز در خصوص مطلق دعاوی خانواده در مواردی که به صلح و سازش ختم شود، به میزان حق الوکاله کل دعوا است.</t>
  </si>
  <si>
    <t xml:space="preserve">حق‌الوکاله آن مرحله به وکیل تعلق خواهد گرفت. در غیر این صورت میزان حق‌الوکاله به تناسب کاری که وکیل در آن مرحله انجام داده است، حسب مورد به </t>
  </si>
  <si>
    <t>تشخیص کانون یا مرکز تعیین خواهد شد.</t>
  </si>
  <si>
    <t xml:space="preserve"> میلیون ریال و حداکثر دو درصد مبلغ محکوم‌به یا مورد اجرا است و نسبت به دیگر موارد حداقل چهار میلیون ریال و حداکثر تا مبلغ یکصد و پنجاه میلیون ریال است.</t>
  </si>
  <si>
    <t>الف – اموری از قبیل تنظیم دادخواست، شکواییه، لایحه دفاعیه و اظهار نامه: حداکثر پنجاه میلیون ریال.</t>
  </si>
  <si>
    <t>ب – مشاوره به ازای هر ساعت: حداقل پانصد هزار ریال و حداکثر پنج میلیون ریال</t>
  </si>
  <si>
    <t>ت-حق الزحمه صرف مطالعه پرونده توسط وکیل، حداقل دو میلیون ریال و حداکثر پنجاه میلیون ریال است.</t>
  </si>
  <si>
    <t>اعلام نموده و تمبر مالیاتی علی الحساب و حقوق قانونی آن را بپردازند و در صورتی که درآمدی نداشته‌اند صراحتا به کانون اعلام نمایند.</t>
  </si>
  <si>
    <t xml:space="preserve">و یک چهارم تمبر را بابت هزینه کانون و وکلای دادگستری عضو مرکز مکلفند پنج درصد حق‌الوکاله بابت هزینه مرکز به امور مالی دادگستری پرداخت کنند. دادگستری </t>
  </si>
  <si>
    <t xml:space="preserve">مکلف است سهم صندوق و سهم کانون و سهم مرکز را از تمام وکلای کانون و مرکز در هر مورد قبول و در آخر هر ماه حسب مورد به کانون وکلای دادگستری مربوط و </t>
  </si>
  <si>
    <t>یا مرکز پرداخت کند.</t>
  </si>
  <si>
    <t xml:space="preserve"> یک میلیون و پانصد هزار ریال و در صورتی که سفر خارج از استان محل اشتغال وکیل باشد مبلغ سه میلیون ریال و در مسافرت‌های خارج از کشور هم طراز مدیران </t>
  </si>
  <si>
    <t xml:space="preserve">علاوه بر هزینه‌های سفر و حق الوکاله ، فوق العاده ماموریت برای هر روز در صورتی که سفر در داخل استان و خارج از حوزه قضایی محل اشتغال وکیل باشد مبلغ </t>
  </si>
  <si>
    <t>کل می‌باشد.</t>
  </si>
  <si>
    <t xml:space="preserve">خویش نموده اند در پرونده‌های مرتبط با این تخلف، علاوه بر این که از سوی کانون یا مرکز تحت تعقیب انتظامی قرار خواهند گرفت، حق دریافت هزینه سفر و </t>
  </si>
  <si>
    <t>فوق العاده ماموریت مندرج در این ماده را ندارند.</t>
  </si>
  <si>
    <t xml:space="preserve"> نگردد، مدیر دفتر شعبه رسیدگی کننده مکلف است پس از تایید قاضی شعبه گواهی ابطال تمبر مازاد با قید مبلغ مازاد را صادر نماید و وکیل می‌تواند این گواهی را به </t>
  </si>
  <si>
    <t>همان میزان در پرونده‌های دیگر خود به عنوان تمبر مالیاتی ابطال شده و سهم کانون، مرکز و صندوق استفاده نماید و در صورت عدم استفاده، آن را به اداره مالیاتی</t>
  </si>
  <si>
    <t xml:space="preserve"> ارائه نماید تا از میزان تمبرهای مالیاتی وی کسر شود.</t>
  </si>
  <si>
    <t>قیم یا قائم مقام قانونی نیاز به ابطال تمبر مالیاتی مجدد و پرداخت سهم کانون و صندوق و مرکز ندارد.</t>
  </si>
  <si>
    <t xml:space="preserve">نیست و موکل مکلف است وفق تبصره ۲ ماده ۱۰۳ قانون مالیاتها رفتار نماید. وکیل مکلف است حقوق قانونی کانون مرکز با صندوق را بپردازد و فیش واریزی یا رسید </t>
  </si>
  <si>
    <t>آن را ضمیمه وکالتنامه بنماید.</t>
  </si>
  <si>
    <t xml:space="preserve"> حل اختلاف مالیاتی با رعایت مقررات این تعرفه، درآمد سالیانه و کلا را صرفا بر اساس بیست برابر میزان تمبر ابطال شده محاسبه می‌نمایند و مالیات مقطوع را بر </t>
  </si>
  <si>
    <t xml:space="preserve">اساس آن مورد حکم قرار می‌دهند. مراجع قضایی و دیوان عدالت اداری در خصوص پرونده‌های اعتراضی مالیاتی این مقرره را در بررسی پرونده و صدور حکم لحاظ </t>
  </si>
  <si>
    <t>می‌نمایند.</t>
  </si>
  <si>
    <t>سید ابراهیم رئیسی</t>
  </si>
  <si>
    <t xml:space="preserve">این آیین‌نامه مشتمل بر ۳۴ ماده و ۱۰ تبصره در تاریخ ۱۳۹۸/۱۲/۲۸ به تصویب رییس قوه قضاییه رسید و از تاریخ تصویب کلیه آیین‌نامه‌های سایت در </t>
  </si>
  <si>
    <t xml:space="preserve"> خصوص حق الوکاله، حق‌المشاوره و هزینه سفر وکلای دادگستری ملغی است.</t>
  </si>
  <si>
    <t>الف – تا مبلغ پانصد میلیون ریال: هشت درصد بهای خواسته</t>
  </si>
  <si>
    <t>تعداد اوراق پیوست را وارد نمایید</t>
  </si>
  <si>
    <t>مبلغ دین را وارد نمایید(ریال)</t>
  </si>
  <si>
    <r>
      <rPr>
        <b/>
        <sz val="11"/>
        <color theme="5"/>
        <rFont val="Calibri"/>
        <family val="2"/>
        <scheme val="minor"/>
      </rPr>
      <t>ماده 1 -</t>
    </r>
    <r>
      <rPr>
        <b/>
        <sz val="11"/>
        <color theme="1" tint="0.249977111117893"/>
        <rFont val="Calibri"/>
        <family val="2"/>
        <scheme val="minor"/>
      </rPr>
      <t xml:space="preserve"> اصطلاحات و اختصارات به کار رفته در این آیین نامه در معانی زیر به کار می رود:</t>
    </r>
  </si>
  <si>
    <r>
      <rPr>
        <b/>
        <sz val="11"/>
        <color theme="5"/>
        <rFont val="Calibri"/>
        <family val="2"/>
        <scheme val="minor"/>
      </rPr>
      <t>ماده۲–</t>
    </r>
    <r>
      <rPr>
        <b/>
        <sz val="11"/>
        <color theme="1" tint="0.249977111117893"/>
        <rFont val="Calibri"/>
        <family val="2"/>
        <scheme val="minor"/>
      </rPr>
      <t xml:space="preserve">  قرارداد حق‌الوکاله بین وکیل و موکل معتبر است. در صورتی که قراردادی در خصوص حق‌الوکاله در بین نباشد، تعیین حق‌الوکاله در مورد وکیل و موکل، محکوم </t>
    </r>
  </si>
  <si>
    <r>
      <rPr>
        <b/>
        <sz val="11"/>
        <color theme="5"/>
        <rFont val="Calibri"/>
        <family val="2"/>
        <scheme val="minor"/>
      </rPr>
      <t>ماده ۳–</t>
    </r>
    <r>
      <rPr>
        <b/>
        <sz val="11"/>
        <color theme="1" tint="0.249977111117893"/>
        <rFont val="Calibri"/>
        <family val="2"/>
        <scheme val="minor"/>
      </rPr>
      <t xml:space="preserve">  وکیل مکلف است در فرم وکالتنامه مبلغ حق‌الوکاله را درج نماید و نباید از عباراتی مانند «طبق تعرفه» استفاده کند. در صورتی که حق‌الوکاله وجه نقد نباشد، </t>
    </r>
  </si>
  <si>
    <r>
      <rPr>
        <b/>
        <sz val="11"/>
        <color theme="5"/>
        <rFont val="Calibri"/>
        <family val="2"/>
        <scheme val="minor"/>
      </rPr>
      <t>ماده ۴ –</t>
    </r>
    <r>
      <rPr>
        <b/>
        <sz val="11"/>
        <color theme="1" tint="0.249977111117893"/>
        <rFont val="Calibri"/>
        <family val="2"/>
        <scheme val="minor"/>
      </rPr>
      <t xml:space="preserve"> در صورتی که وکیل کسری تمبر مالیاتی داشته باشد دفتر شعبه مکلف به قبول وکالتنامه وی است و در اجرایی ماده ۵۴ قانون آیین دادرسی دادگاههای عمومی </t>
    </r>
  </si>
  <si>
    <r>
      <rPr>
        <b/>
        <sz val="11"/>
        <color theme="5"/>
        <rFont val="Calibri"/>
        <family val="2"/>
        <scheme val="minor"/>
      </rPr>
      <t>ماده ۵–</t>
    </r>
    <r>
      <rPr>
        <b/>
        <sz val="11"/>
        <color theme="1" tint="0.249977111117893"/>
        <rFont val="Calibri"/>
        <family val="2"/>
        <scheme val="minor"/>
      </rPr>
      <t xml:space="preserve"> در صورتی که قراردادی در خصوص حق الوکاله در بین نباشد حق‌الوکاله وکلای متعدد به تساوی به آنان تعلق می‌گیرد مگر آنکه به نحو دیگری توافق شده </t>
    </r>
  </si>
  <si>
    <r>
      <rPr>
        <b/>
        <sz val="11"/>
        <color theme="5"/>
        <rFont val="Calibri"/>
        <family val="2"/>
        <scheme val="minor"/>
      </rPr>
      <t>تبصره –</t>
    </r>
    <r>
      <rPr>
        <b/>
        <sz val="11"/>
        <color theme="1" tint="0.249977111117893"/>
        <rFont val="Calibri"/>
        <family val="2"/>
        <scheme val="minor"/>
      </rPr>
      <t xml:space="preserve"> در مواردی که چند وکیل در پرونده اعلام وکالت می‌نمایند و  پروانه برخی از کانون و برخی از مرکز باشند، با توافق وکلا از فرم وکالتنامه کانون یا مرکز به عنوان </t>
    </r>
  </si>
  <si>
    <r>
      <rPr>
        <b/>
        <sz val="11"/>
        <color theme="5"/>
        <rFont val="Calibri"/>
        <family val="2"/>
        <scheme val="minor"/>
      </rPr>
      <t>ماده ۶–</t>
    </r>
    <r>
      <rPr>
        <b/>
        <sz val="11"/>
        <color theme="1" tint="0.249977111117893"/>
        <rFont val="Calibri"/>
        <family val="2"/>
        <scheme val="minor"/>
      </rPr>
      <t xml:space="preserve"> در صورت انتخاب وکیل جدید توسط موکل، اعم از آن که به نحو استقلال باشد و یا انضمام به وکیل سابق، وکیل جدید نیز مکلف به ابطال تمبر </t>
    </r>
  </si>
  <si>
    <r>
      <rPr>
        <b/>
        <sz val="11"/>
        <color theme="5"/>
        <rFont val="Calibri"/>
        <family val="2"/>
        <scheme val="minor"/>
      </rPr>
      <t xml:space="preserve"> تبصره – </t>
    </r>
    <r>
      <rPr>
        <b/>
        <sz val="11"/>
        <color theme="1" tint="0.249977111117893"/>
        <rFont val="Calibri"/>
        <family val="2"/>
        <scheme val="minor"/>
      </rPr>
      <t>در اجرای تبصره ۳ ماده ۱۰۳ قانون مالیات‌ها ، چنانچه پس از ابطال تمبر تعقیب دعوا به وکیل دیگری توکیل شود، وکیل جدید مکلف به ابطال تمبر بر روی</t>
    </r>
  </si>
  <si>
    <r>
      <rPr>
        <b/>
        <sz val="11"/>
        <color theme="5"/>
        <rFont val="Calibri"/>
        <family val="2"/>
        <scheme val="minor"/>
      </rPr>
      <t>ماده ۷ –</t>
    </r>
    <r>
      <rPr>
        <b/>
        <sz val="11"/>
        <color theme="1" tint="0.249977111117893"/>
        <rFont val="Calibri"/>
        <family val="2"/>
        <scheme val="minor"/>
      </rPr>
      <t xml:space="preserve"> در صورتی که وکیل به نحو تبرعی وکالت یکی از اقربای نسبی یا سببی خود تا درجه ۳ از طبقه ۳ را بر عهده بگیرد، از ابطال تمبر و پرداخت سهم کانون، مرکز </t>
    </r>
  </si>
  <si>
    <r>
      <rPr>
        <b/>
        <sz val="11"/>
        <color theme="5"/>
        <rFont val="Calibri"/>
        <family val="2"/>
        <scheme val="minor"/>
      </rPr>
      <t>ماده ۸ –</t>
    </r>
    <r>
      <rPr>
        <b/>
        <sz val="11"/>
        <color theme="1" tint="0.249977111117893"/>
        <rFont val="Calibri"/>
        <family val="2"/>
        <scheme val="minor"/>
      </rPr>
      <t xml:space="preserve"> تنظیم و ارائه وکالتنامه توسط وکیل تسخیری یا معاضدتی الزامی است؛ هر چند توسط مرجع قضایی و به نمایندگی از موکل امضاء شده باشد. حق‌الوکاله </t>
    </r>
  </si>
  <si>
    <r>
      <rPr>
        <b/>
        <sz val="11"/>
        <color theme="5"/>
        <rFont val="Calibri"/>
        <family val="2"/>
        <scheme val="minor"/>
      </rPr>
      <t xml:space="preserve">ماده ۹– </t>
    </r>
    <r>
      <rPr>
        <b/>
        <sz val="11"/>
        <color theme="1" tint="0.249977111117893"/>
        <rFont val="Calibri"/>
        <family val="2"/>
        <scheme val="minor"/>
      </rPr>
      <t>با لحاظ ماده ۶۲ قانون آیین دادرسی دادگاههای عمومی و انقلاب در امور مدنی مصوب ۱۳۷۹، در دعاوی مالی در موردی که حکم دادگاه بدوی از حیث</t>
    </r>
  </si>
  <si>
    <r>
      <rPr>
        <b/>
        <sz val="11"/>
        <color theme="5"/>
        <rFont val="Calibri"/>
        <family val="2"/>
        <scheme val="minor"/>
      </rPr>
      <t>تبصره-</t>
    </r>
    <r>
      <rPr>
        <b/>
        <sz val="11"/>
        <color theme="1" tint="0.249977111117893"/>
        <rFont val="Calibri"/>
        <family val="2"/>
        <scheme val="minor"/>
      </rPr>
      <t xml:space="preserve"> در صورتی که با لحاظ ماده ۶۲ قانون آیین دادرسی دادگاههای عمومی و انقلاب در امور مدنی مصوب ۱۳۷۹ بهای خواسته در موقع تقدیم دادخواست </t>
    </r>
  </si>
  <si>
    <r>
      <rPr>
        <b/>
        <sz val="11"/>
        <color theme="5"/>
        <rFont val="Calibri"/>
        <family val="2"/>
        <scheme val="minor"/>
      </rPr>
      <t xml:space="preserve">ماده ۱۰– </t>
    </r>
    <r>
      <rPr>
        <b/>
        <sz val="11"/>
        <color theme="1" tint="0.249977111117893"/>
        <rFont val="Calibri"/>
        <family val="2"/>
        <scheme val="minor"/>
      </rPr>
      <t xml:space="preserve">حق‌الوکاله طرح یا دفاع در مقابل دعاوی ورود، جلب و یا اعتراض ثالث و تقابل معادل حق الوکله مرحله ای است که ثالث در آن مرحله وارد یا جلب شده </t>
    </r>
  </si>
  <si>
    <r>
      <rPr>
        <b/>
        <sz val="11"/>
        <color theme="5"/>
        <rFont val="Calibri"/>
        <family val="2"/>
        <scheme val="minor"/>
      </rPr>
      <t>ماده ۱۱–</t>
    </r>
    <r>
      <rPr>
        <b/>
        <sz val="11"/>
        <color theme="1" tint="0.249977111117893"/>
        <rFont val="Calibri"/>
        <family val="2"/>
        <scheme val="minor"/>
      </rPr>
      <t xml:space="preserve"> حق‌الوکاله پرونده‌های منجر به صدور حکم غیابی و اعتراض به آن به میزان مقرر در ماده ۹ این آیین‌نامه است؛ اما چنانچه وکیل از ابتدا وکالت داشته و</t>
    </r>
  </si>
  <si>
    <r>
      <rPr>
        <b/>
        <sz val="11"/>
        <color theme="5"/>
        <rFont val="Calibri"/>
        <family val="2"/>
        <scheme val="minor"/>
      </rPr>
      <t>ماده ۱۲ –</t>
    </r>
    <r>
      <rPr>
        <b/>
        <sz val="11"/>
        <color theme="1" tint="0.249977111117893"/>
        <rFont val="Calibri"/>
        <family val="2"/>
        <scheme val="minor"/>
      </rPr>
      <t xml:space="preserve"> در مواردی که دعوا به یکی از نتایج زیر منجر شود، حق‌الوکاله به ترتیب زیر تعیین می‌شود:</t>
    </r>
  </si>
  <si>
    <r>
      <rPr>
        <b/>
        <sz val="11"/>
        <color theme="5"/>
        <rFont val="Calibri"/>
        <family val="2"/>
        <scheme val="minor"/>
      </rPr>
      <t>تبصره –</t>
    </r>
    <r>
      <rPr>
        <b/>
        <sz val="11"/>
        <color theme="1" tint="0.249977111117893"/>
        <rFont val="Calibri"/>
        <family val="2"/>
        <scheme val="minor"/>
      </rPr>
      <t xml:space="preserve"> در صورت فسخ با نقض قرارهای موضوع این ماده و اعاده پرونده جهت ادامه رسیدگی ماهوی، حق‌الوکاله آن مرحله به وکیل تعلق می‌گیرد.</t>
    </r>
  </si>
  <si>
    <r>
      <rPr>
        <b/>
        <sz val="11"/>
        <color theme="5"/>
        <rFont val="Calibri"/>
        <family val="2"/>
        <scheme val="minor"/>
      </rPr>
      <t>ماده ۱۳ –</t>
    </r>
    <r>
      <rPr>
        <b/>
        <sz val="11"/>
        <color theme="1" tint="0.249977111117893"/>
        <rFont val="Calibri"/>
        <family val="2"/>
        <scheme val="minor"/>
      </rPr>
      <t xml:space="preserve"> حق‌الوکاله امور حسبی، دعاوی خانوادگی و غیرمالی به شرح زیر تعیین می‌شود:</t>
    </r>
  </si>
  <si>
    <r>
      <rPr>
        <b/>
        <sz val="11"/>
        <color theme="5"/>
        <rFont val="Calibri"/>
        <family val="2"/>
        <scheme val="minor"/>
      </rPr>
      <t>ماده ۱۴ –</t>
    </r>
    <r>
      <rPr>
        <b/>
        <sz val="11"/>
        <color theme="1" tint="0.249977111117893"/>
        <rFont val="Calibri"/>
        <family val="2"/>
        <scheme val="minor"/>
      </rPr>
      <t xml:space="preserve"> حق‌الوکاله رسیدگی به دعاوی کیفری، به شرح زیر تعیین می‌شود:</t>
    </r>
  </si>
  <si>
    <r>
      <rPr>
        <b/>
        <sz val="11"/>
        <color theme="5"/>
        <rFont val="Calibri"/>
        <family val="2"/>
        <scheme val="minor"/>
      </rPr>
      <t>تبصره ۱-</t>
    </r>
    <r>
      <rPr>
        <b/>
        <sz val="11"/>
        <color theme="1" tint="0.249977111117893"/>
        <rFont val="Calibri"/>
        <family val="2"/>
        <scheme val="minor"/>
      </rPr>
      <t xml:space="preserve"> از حق الوکاله دعاوی کیفری موضوع این ماده پنجاه درصد مربوط به فرایند تحقیق در دادسرا اعم از دادسرای عمومی و انقلاب، دادسرای نظامی و سایر </t>
    </r>
  </si>
  <si>
    <r>
      <rPr>
        <b/>
        <sz val="11"/>
        <color theme="5"/>
        <rFont val="Calibri"/>
        <family val="2"/>
        <scheme val="minor"/>
      </rPr>
      <t>تبصره ۲-</t>
    </r>
    <r>
      <rPr>
        <b/>
        <sz val="11"/>
        <color theme="1" tint="0.249977111117893"/>
        <rFont val="Calibri"/>
        <family val="2"/>
        <scheme val="minor"/>
      </rPr>
      <t xml:space="preserve"> در صورت قبول فرجام خواهی با اعاده دادرسی و نقض رای سابق و عودت پرونده به مرجع سابق یا هم‌عرض در جهت رسیدگی و وکالت وکیل در مرحله </t>
    </r>
  </si>
  <si>
    <r>
      <rPr>
        <b/>
        <sz val="11"/>
        <color theme="5"/>
        <rFont val="Calibri"/>
        <family val="2"/>
        <scheme val="minor"/>
      </rPr>
      <t>تبصره ۳-</t>
    </r>
    <r>
      <rPr>
        <b/>
        <sz val="11"/>
        <color theme="1" tint="0.249977111117893"/>
        <rFont val="Calibri"/>
        <family val="2"/>
        <scheme val="minor"/>
      </rPr>
      <t xml:space="preserve">  در صورتی که پرونده دارای چند موضوع اتهامی باشد، ملاک تعرفه اتهامی است که دارای جرم اشد است و به ازای هر جرم اضافه تر ۲۰ درصد، همان </t>
    </r>
  </si>
  <si>
    <r>
      <rPr>
        <b/>
        <sz val="11"/>
        <color theme="5"/>
        <rFont val="Calibri"/>
        <family val="2"/>
        <scheme val="minor"/>
      </rPr>
      <t xml:space="preserve">ماده ۱۵ – </t>
    </r>
    <r>
      <rPr>
        <b/>
        <sz val="11"/>
        <color theme="1" tint="0.249977111117893"/>
        <rFont val="Calibri"/>
        <family val="2"/>
        <scheme val="minor"/>
      </rPr>
      <t xml:space="preserve">حق‌الوکاله در شوراهای حل اختلاف و محاکم دادگستری در مقام رسیدگی به اعتراض نسبت به آراء شوراهای مذکور، حسب مورد به میزان حق‌الوکاله </t>
    </r>
  </si>
  <si>
    <r>
      <rPr>
        <b/>
        <sz val="11"/>
        <color theme="5"/>
        <rFont val="Calibri"/>
        <family val="2"/>
        <scheme val="minor"/>
      </rPr>
      <t>ماده ۱۶–</t>
    </r>
    <r>
      <rPr>
        <b/>
        <sz val="11"/>
        <color theme="1" tint="0.249977111117893"/>
        <rFont val="Calibri"/>
        <family val="2"/>
        <scheme val="minor"/>
      </rPr>
      <t xml:space="preserve"> حق الوکاله در دیوان عالی کشور در دعاوی مالی و غیر مالی براساس تعرفه مرحله تجدیدنظر است.</t>
    </r>
  </si>
  <si>
    <r>
      <rPr>
        <b/>
        <sz val="11"/>
        <color theme="5"/>
        <rFont val="Calibri"/>
        <family val="2"/>
        <scheme val="minor"/>
      </rPr>
      <t xml:space="preserve">ماده ۱۷ – </t>
    </r>
    <r>
      <rPr>
        <b/>
        <sz val="11"/>
        <color theme="1" tint="0.249977111117893"/>
        <rFont val="Calibri"/>
        <family val="2"/>
        <scheme val="minor"/>
      </rPr>
      <t>حق الوکاله اعتراض به آراء کیفری که مرجع رسیدگی به آن دیوان عالی کشور است. بر اساس تعرفه مرحله تجدیدنظر است.</t>
    </r>
  </si>
  <si>
    <r>
      <rPr>
        <b/>
        <sz val="11"/>
        <color theme="5"/>
        <rFont val="Calibri"/>
        <family val="2"/>
        <scheme val="minor"/>
      </rPr>
      <t>ماده ۱۸ ۔</t>
    </r>
    <r>
      <rPr>
        <b/>
        <sz val="11"/>
        <color theme="1" tint="0.249977111117893"/>
        <rFont val="Calibri"/>
        <family val="2"/>
        <scheme val="minor"/>
      </rPr>
      <t xml:space="preserve"> حق‌الوکاله وکیلی که پس از نقض رای وکالت را بر عهده می‌گیرد، معادل یک دوم حق‌الوکاله پیش از نقض است.</t>
    </r>
  </si>
  <si>
    <r>
      <rPr>
        <b/>
        <sz val="11"/>
        <color theme="5"/>
        <rFont val="Calibri"/>
        <family val="2"/>
        <scheme val="minor"/>
      </rPr>
      <t>ماده ۱۹ –</t>
    </r>
    <r>
      <rPr>
        <b/>
        <sz val="11"/>
        <color theme="1" tint="0.249977111117893"/>
        <rFont val="Calibri"/>
        <family val="2"/>
        <scheme val="minor"/>
      </rPr>
      <t xml:space="preserve"> تعرفه حق‌الوکاله در دادسرا و دادگاه عالی انتظامی قضات و دادسرای دیوان عالی کشور و سایر دادسراها و دادگاههای انتظامی، حداکثر مبلغ بیست میلیون </t>
    </r>
  </si>
  <si>
    <r>
      <rPr>
        <b/>
        <sz val="11"/>
        <color theme="5"/>
        <rFont val="Calibri"/>
        <family val="2"/>
        <scheme val="minor"/>
      </rPr>
      <t>ماده ۲۰ –</t>
    </r>
    <r>
      <rPr>
        <b/>
        <sz val="11"/>
        <color theme="1" tint="0.249977111117893"/>
        <rFont val="Calibri"/>
        <family val="2"/>
        <scheme val="minor"/>
      </rPr>
      <t xml:space="preserve"> حق‌الوکاله در دیوان عدالت اداری و سازمان تعزیرات حکومتی، حداقل مبلغ چهار میلیون ریال و حداکثر مبلغ پانصد میلیون ریال است.حق‌الوکاله در مراجع</t>
    </r>
  </si>
  <si>
    <r>
      <rPr>
        <b/>
        <sz val="11"/>
        <color theme="5"/>
        <rFont val="Calibri"/>
        <family val="2"/>
        <scheme val="minor"/>
      </rPr>
      <t>ماده ۲۱ –</t>
    </r>
    <r>
      <rPr>
        <b/>
        <sz val="11"/>
        <color theme="1" tint="0.249977111117893"/>
        <rFont val="Calibri"/>
        <family val="2"/>
        <scheme val="minor"/>
      </rPr>
      <t xml:space="preserve"> شصت درصد حق‌الوکاله موضوع مواد ۹ و ۱۳ و ۲۰ این آیین‌نامه به مرحله نخستین و چهل درصد به مرحله تجدیدنظر تعلق می‌گیرد.</t>
    </r>
  </si>
  <si>
    <r>
      <rPr>
        <b/>
        <sz val="11"/>
        <color theme="5"/>
        <rFont val="Calibri"/>
        <family val="2"/>
        <scheme val="minor"/>
      </rPr>
      <t xml:space="preserve"> ماده ۲۲ –</t>
    </r>
    <r>
      <rPr>
        <b/>
        <sz val="11"/>
        <color theme="1" tint="0.249977111117893"/>
        <rFont val="Calibri"/>
        <family val="2"/>
        <scheme val="minor"/>
      </rPr>
      <t xml:space="preserve"> حق‌الوکاله هر مرحله در ابتدای هر مرحله به وکیل پرداخت می‌شود؛ مگر این که به نحو دیگری توافق شده باشد.</t>
    </r>
  </si>
  <si>
    <r>
      <rPr>
        <b/>
        <sz val="11"/>
        <color theme="5"/>
        <rFont val="Calibri"/>
        <family val="2"/>
        <scheme val="minor"/>
      </rPr>
      <t>ماده ۲۳ –</t>
    </r>
    <r>
      <rPr>
        <b/>
        <sz val="11"/>
        <color theme="1" tint="0.249977111117893"/>
        <rFont val="Calibri"/>
        <family val="2"/>
        <scheme val="minor"/>
      </rPr>
      <t xml:space="preserve"> به منظور کاهش ورود پرونده به دستگاه فضایی و تشویق وکلا به سوق دادن پرونده به صلح و سازش و حل و فصل در خارج از دادگستری، حق‌الوکاله </t>
    </r>
  </si>
  <si>
    <r>
      <rPr>
        <b/>
        <sz val="11"/>
        <color theme="5"/>
        <rFont val="Calibri"/>
        <family val="2"/>
        <scheme val="minor"/>
      </rPr>
      <t>ماده ۲۴ –</t>
    </r>
    <r>
      <rPr>
        <b/>
        <sz val="11"/>
        <color theme="1" tint="0.249977111117893"/>
        <rFont val="Calibri"/>
        <family val="2"/>
        <scheme val="minor"/>
      </rPr>
      <t xml:space="preserve"> در صورت عزل، فوت یا حجر موکل یا استعفای وکیل یا انتفای موضوع وکالت به جهتی از جهات قانونی، چنان چه پرونده آماده صدور رای باشد. تمام </t>
    </r>
  </si>
  <si>
    <r>
      <rPr>
        <b/>
        <sz val="11"/>
        <color theme="5"/>
        <rFont val="Calibri"/>
        <family val="2"/>
        <scheme val="minor"/>
      </rPr>
      <t>ماده ۲۵ –</t>
    </r>
    <r>
      <rPr>
        <b/>
        <sz val="11"/>
        <color theme="1" tint="0.249977111117893"/>
        <rFont val="Calibri"/>
        <family val="2"/>
        <scheme val="minor"/>
      </rPr>
      <t xml:space="preserve"> حق‌الوکاله امور اجرایی در اجرای احکام دادگستری (حقوقی) و ادارات اجرای اسناد رسمی و لازم‌الاجرای سازمان ثبت اسناد و املاک کشور، حداقل چهار</t>
    </r>
  </si>
  <si>
    <r>
      <rPr>
        <b/>
        <sz val="11"/>
        <color theme="5"/>
        <rFont val="Calibri"/>
        <family val="2"/>
        <scheme val="minor"/>
      </rPr>
      <t>ماده ۲۶ –</t>
    </r>
    <r>
      <rPr>
        <b/>
        <sz val="11"/>
        <color theme="1" tint="0.249977111117893"/>
        <rFont val="Calibri"/>
        <family val="2"/>
        <scheme val="minor"/>
      </rPr>
      <t xml:space="preserve"> حق الزحمه ارائه خدمات حقوقی و مشاوره ای وکلا در صورتی که وکالتنامه ای تنظیم نشده و توافقی در بین نباشد، به شرح زیر است:</t>
    </r>
  </si>
  <si>
    <r>
      <rPr>
        <b/>
        <sz val="11"/>
        <color theme="5"/>
        <rFont val="Calibri"/>
        <family val="2"/>
        <scheme val="minor"/>
      </rPr>
      <t>تبصره –</t>
    </r>
    <r>
      <rPr>
        <b/>
        <sz val="11"/>
        <color theme="1" tint="0.249977111117893"/>
        <rFont val="Calibri"/>
        <family val="2"/>
        <scheme val="minor"/>
      </rPr>
      <t xml:space="preserve"> وکلا مکلفند در اردیبهشت ماه هر سال درآمد سال شمسی سابق خود از محل این ماده و نیز اقساط موجل حق‌الوکاله که دریافت نموده‌اند را به کانون یا مرکز </t>
    </r>
  </si>
  <si>
    <r>
      <rPr>
        <b/>
        <sz val="11"/>
        <color theme="5"/>
        <rFont val="Calibri"/>
        <family val="2"/>
        <scheme val="minor"/>
      </rPr>
      <t xml:space="preserve"> ماده ۲۷ –</t>
    </r>
    <r>
      <rPr>
        <b/>
        <sz val="11"/>
        <color theme="1" tint="0.249977111117893"/>
        <rFont val="Calibri"/>
        <family val="2"/>
        <scheme val="minor"/>
      </rPr>
      <t xml:space="preserve"> تعرفه حق‌الوکاله دادسرا و دادگاه ویژه روحانیت، حسب مورد تابع مقررات این آیین‌نامه است.</t>
    </r>
  </si>
  <si>
    <r>
      <rPr>
        <b/>
        <sz val="11"/>
        <color theme="5"/>
        <rFont val="Calibri"/>
        <family val="2"/>
        <scheme val="minor"/>
      </rPr>
      <t xml:space="preserve"> ماده ۲۸ ۔</t>
    </r>
    <r>
      <rPr>
        <b/>
        <sz val="11"/>
        <color theme="1" tint="0.249977111117893"/>
        <rFont val="Calibri"/>
        <family val="2"/>
        <scheme val="minor"/>
      </rPr>
      <t xml:space="preserve"> حق‌الوکاله دیگر مواردی که در این آیین‌نامه تعیین تکلیف نشده است، حداقل مبلغ ده میلیون ریال و حداکثر مبلغ دویست و پنجاه میلیون ریال است.</t>
    </r>
  </si>
  <si>
    <r>
      <rPr>
        <b/>
        <sz val="11"/>
        <color theme="5"/>
        <rFont val="Calibri"/>
        <family val="2"/>
        <scheme val="minor"/>
      </rPr>
      <t xml:space="preserve"> ماده ۲۹ –</t>
    </r>
    <r>
      <rPr>
        <b/>
        <sz val="11"/>
        <color theme="1" tint="0.249977111117893"/>
        <rFont val="Calibri"/>
        <family val="2"/>
        <scheme val="minor"/>
      </rPr>
      <t xml:space="preserve"> وکلای دادگستری عضو کانونهای وکلا مکلفند معادل پنجاه درصد آن چه بابت مالیات طبق قانون مالیاتها تمبر به وکالتنامه الصاق می‌کنند، برای صندوق </t>
    </r>
  </si>
  <si>
    <r>
      <rPr>
        <b/>
        <sz val="11"/>
        <color theme="5"/>
        <rFont val="Calibri"/>
        <family val="2"/>
        <scheme val="minor"/>
      </rPr>
      <t>ماده ۳۰ –</t>
    </r>
    <r>
      <rPr>
        <b/>
        <sz val="11"/>
        <color theme="1" tint="0.249977111117893"/>
        <rFont val="Calibri"/>
        <family val="2"/>
        <scheme val="minor"/>
      </rPr>
      <t xml:space="preserve">هزینه مسافرت وکلا، چنانچه نسبت به آن توافق نشده باشد، اعم از هزینه ایاب و ذهاب و اقامت در داخل یا خارج از کشور و … به عهده موکل بوده و </t>
    </r>
  </si>
  <si>
    <r>
      <rPr>
        <b/>
        <sz val="11"/>
        <color theme="5"/>
        <rFont val="Calibri"/>
        <family val="2"/>
        <scheme val="minor"/>
      </rPr>
      <t>تبصره –</t>
    </r>
    <r>
      <rPr>
        <b/>
        <sz val="11"/>
        <color theme="1" tint="0.249977111117893"/>
        <rFont val="Calibri"/>
        <family val="2"/>
        <scheme val="minor"/>
      </rPr>
      <t xml:space="preserve"> با توجه به لزوم تمرکز فعالیت وکالتی در حوزه قضایی مندرج در پروانه، وکلایی که مبادرت به تمرکز فعالیت وکالتی در شهری غیر از محل مندرج در پروانه </t>
    </r>
  </si>
  <si>
    <r>
      <rPr>
        <b/>
        <sz val="11"/>
        <color theme="5"/>
        <rFont val="Calibri"/>
        <family val="2"/>
        <scheme val="minor"/>
      </rPr>
      <t>ماده ۳۱ –</t>
    </r>
    <r>
      <rPr>
        <b/>
        <sz val="11"/>
        <color theme="1" tint="0.249977111117893"/>
        <rFont val="Calibri"/>
        <family val="2"/>
        <scheme val="minor"/>
      </rPr>
      <t xml:space="preserve"> در صورتی که وکیل مبادرت به ابطال تمبر مالیاتی بنماید و سپس پرونده به نحوی مختومه گردد که متناسب با تمبر ابطال شده مستحق دریافت حق‌الوکاله</t>
    </r>
  </si>
  <si>
    <r>
      <rPr>
        <b/>
        <sz val="11"/>
        <color theme="5"/>
        <rFont val="Calibri"/>
        <family val="2"/>
        <scheme val="minor"/>
      </rPr>
      <t>ماده ۳۲ –</t>
    </r>
    <r>
      <rPr>
        <b/>
        <sz val="11"/>
        <color theme="1" tint="0.249977111117893"/>
        <rFont val="Calibri"/>
        <family val="2"/>
        <scheme val="minor"/>
      </rPr>
      <t xml:space="preserve"> در مواردی که پرونده دارای وکیل باشد و به دلیل فوت یا حجر موکل، رسیدگی تا تعیین وراث، قیم یا قائم مقام قانونی متوقف گردد، قبول وکالت از وراث، </t>
    </r>
  </si>
  <si>
    <r>
      <rPr>
        <b/>
        <sz val="11"/>
        <color theme="5"/>
        <rFont val="Calibri"/>
        <family val="2"/>
        <scheme val="minor"/>
      </rPr>
      <t>ماده ۳۳ –</t>
    </r>
    <r>
      <rPr>
        <b/>
        <sz val="11"/>
        <color theme="1" tint="0.249977111117893"/>
        <rFont val="Calibri"/>
        <family val="2"/>
        <scheme val="minor"/>
      </rPr>
      <t xml:space="preserve"> در صورتی که موکل وزارتخانه، مؤسسه دولتی، شرکت دولتی، شهرداری و مؤسسات وابسته به دولت و شهرداریها باشد وکیل مکلف به ابطال تمبر مالیاتی </t>
    </r>
  </si>
  <si>
    <r>
      <rPr>
        <b/>
        <sz val="11"/>
        <color theme="5"/>
        <rFont val="Calibri"/>
        <family val="2"/>
        <scheme val="minor"/>
      </rPr>
      <t>ماده ۳۴ –</t>
    </r>
    <r>
      <rPr>
        <b/>
        <sz val="11"/>
        <color theme="1" tint="0.249977111117893"/>
        <rFont val="Calibri"/>
        <family val="2"/>
        <scheme val="minor"/>
      </rPr>
      <t xml:space="preserve"> با توجه به مقررات جدید مالیاتی و شفافیت ناشی از اجرای قانون پایانه‌های فروشگاهی و سامانه مودیان، مصوب ۲۱/۷/۱۳۹۸، قضات عضو هیات‌های</t>
    </r>
  </si>
  <si>
    <t>مبلغ قرارداد وکالت را وارد نمایید(ریال)</t>
  </si>
  <si>
    <t>آخرین شاخص:</t>
  </si>
  <si>
    <t>جهت استفاده آنلاین از برنامه، ارسال انتقادات و پیشنهادات به سایت اینترنتی استناد به نشانی stenad.ir مراجعه نمایید.</t>
  </si>
  <si>
    <t>تعرفه سال 1405</t>
  </si>
  <si>
    <t>فروردین 1405</t>
  </si>
  <si>
    <t>هزینه های دادرسی سال 1405</t>
  </si>
  <si>
    <t>با ذکر صلوات تقدیم به شهدای والامقام، کارکنان فقید قوه قضائیه و  کسانی که برای اجرای عدالت تلاش می کنند</t>
  </si>
  <si>
    <t>طراح و برنامه نویس: صادق  الهیاری-کارمند دادگستری استان کرمانشاه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</si>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</sst>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rgb="FFD7E5F5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4" tint="0.59999389629810485"/>
      <name val="Calibri"/>
      <family val="2"/>
      <scheme val="minor"/>
    </font>
    <font>
      <sz val="10"/>
      <color rgb="FFD7E5F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</font>
    <font>
      <b/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7E5F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28">
    <xf numFmtId="0" fontId="0" fillId="0" borderId="0" xfId="0"/>
    <xf numFmtId="0" fontId="0" fillId="5" borderId="0" xfId="0" applyFill="1" applyBorder="1"/>
    <xf numFmtId="0" fontId="0" fillId="5" borderId="0" xfId="0" applyFill="1"/>
    <xf numFmtId="0" fontId="0" fillId="5" borderId="6" xfId="0" applyFill="1" applyBorder="1"/>
    <xf numFmtId="0" fontId="0" fillId="5" borderId="7" xfId="0" applyFill="1" applyBorder="1"/>
    <xf numFmtId="0" fontId="14" fillId="5" borderId="0" xfId="0" applyFont="1" applyFill="1"/>
    <xf numFmtId="0" fontId="14" fillId="5" borderId="0" xfId="0" applyFont="1" applyFill="1" applyBorder="1"/>
    <xf numFmtId="0" fontId="4" fillId="5" borderId="0" xfId="0" applyFont="1" applyFill="1"/>
    <xf numFmtId="0" fontId="4" fillId="5" borderId="0" xfId="0" applyFont="1" applyFill="1" applyBorder="1"/>
    <xf numFmtId="0" fontId="17" fillId="5" borderId="0" xfId="0" applyFont="1" applyFill="1"/>
    <xf numFmtId="0" fontId="17" fillId="5" borderId="0" xfId="0" applyFont="1" applyFill="1" applyBorder="1"/>
    <xf numFmtId="0" fontId="0" fillId="5" borderId="0" xfId="0" applyFill="1" applyProtection="1">
      <protection locked="0"/>
    </xf>
    <xf numFmtId="0" fontId="0" fillId="5" borderId="2" xfId="0" applyFont="1" applyFill="1" applyBorder="1" applyAlignment="1" applyProtection="1">
      <alignment vertical="center"/>
      <protection hidden="1"/>
    </xf>
    <xf numFmtId="0" fontId="0" fillId="5" borderId="0" xfId="0" applyFont="1" applyFill="1" applyBorder="1" applyAlignment="1" applyProtection="1">
      <alignment vertical="center"/>
      <protection hidden="1"/>
    </xf>
    <xf numFmtId="0" fontId="0" fillId="5" borderId="0" xfId="0" applyFill="1" applyBorder="1" applyProtection="1">
      <protection locked="0"/>
    </xf>
    <xf numFmtId="0" fontId="0" fillId="5" borderId="0" xfId="0" applyFill="1" applyAlignment="1" applyProtection="1">
      <protection hidden="1"/>
    </xf>
    <xf numFmtId="3" fontId="4" fillId="5" borderId="0" xfId="1" applyNumberFormat="1" applyFont="1" applyFill="1" applyBorder="1" applyAlignment="1" applyProtection="1">
      <alignment horizontal="center"/>
      <protection hidden="1"/>
    </xf>
    <xf numFmtId="0" fontId="21" fillId="5" borderId="0" xfId="0" applyFont="1" applyFill="1"/>
    <xf numFmtId="0" fontId="0" fillId="5" borderId="0" xfId="0" applyFill="1" applyProtection="1">
      <protection hidden="1"/>
    </xf>
    <xf numFmtId="0" fontId="0" fillId="5" borderId="0" xfId="0" applyFont="1" applyFill="1" applyProtection="1">
      <protection hidden="1"/>
    </xf>
    <xf numFmtId="0" fontId="0" fillId="5" borderId="0" xfId="0" applyFill="1" applyBorder="1" applyProtection="1">
      <protection hidden="1"/>
    </xf>
    <xf numFmtId="49" fontId="0" fillId="5" borderId="0" xfId="0" applyNumberFormat="1" applyFont="1" applyFill="1" applyAlignment="1" applyProtection="1">
      <alignment horizontal="center" vertical="center"/>
      <protection hidden="1"/>
    </xf>
    <xf numFmtId="0" fontId="2" fillId="5" borderId="0" xfId="0" applyFont="1" applyFill="1" applyBorder="1" applyAlignment="1" applyProtection="1">
      <alignment horizontal="center"/>
      <protection hidden="1"/>
    </xf>
    <xf numFmtId="3" fontId="13" fillId="5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/>
      <protection hidden="1"/>
    </xf>
    <xf numFmtId="0" fontId="0" fillId="5" borderId="0" xfId="0" applyFont="1" applyFill="1" applyBorder="1" applyProtection="1">
      <protection hidden="1"/>
    </xf>
    <xf numFmtId="3" fontId="2" fillId="5" borderId="2" xfId="0" applyNumberFormat="1" applyFont="1" applyFill="1" applyBorder="1" applyAlignment="1" applyProtection="1">
      <alignment horizontal="center"/>
      <protection hidden="1"/>
    </xf>
    <xf numFmtId="0" fontId="0" fillId="5" borderId="0" xfId="0" applyFont="1" applyFill="1" applyAlignment="1" applyProtection="1">
      <protection hidden="1"/>
    </xf>
    <xf numFmtId="0" fontId="7" fillId="5" borderId="0" xfId="0" applyFont="1" applyFill="1" applyBorder="1" applyAlignment="1" applyProtection="1">
      <protection hidden="1"/>
    </xf>
    <xf numFmtId="0" fontId="0" fillId="5" borderId="0" xfId="0" applyFont="1" applyFill="1" applyBorder="1" applyAlignment="1" applyProtection="1">
      <protection hidden="1"/>
    </xf>
    <xf numFmtId="0" fontId="22" fillId="3" borderId="5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Protection="1"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0" fontId="7" fillId="5" borderId="0" xfId="0" applyFont="1" applyFill="1" applyBorder="1" applyAlignment="1" applyProtection="1">
      <alignment vertical="center"/>
      <protection hidden="1"/>
    </xf>
    <xf numFmtId="164" fontId="12" fillId="5" borderId="0" xfId="1" applyNumberFormat="1" applyFont="1" applyFill="1" applyBorder="1" applyProtection="1">
      <protection hidden="1"/>
    </xf>
    <xf numFmtId="164" fontId="12" fillId="5" borderId="0" xfId="1" applyNumberFormat="1" applyFont="1" applyFill="1" applyBorder="1" applyAlignment="1" applyProtection="1">
      <alignment horizontal="center"/>
      <protection hidden="1"/>
    </xf>
    <xf numFmtId="164" fontId="11" fillId="5" borderId="0" xfId="0" applyNumberFormat="1" applyFont="1" applyFill="1" applyBorder="1" applyProtection="1">
      <protection hidden="1"/>
    </xf>
    <xf numFmtId="0" fontId="11" fillId="5" borderId="0" xfId="0" applyFont="1" applyFill="1" applyBorder="1" applyProtection="1">
      <protection hidden="1"/>
    </xf>
    <xf numFmtId="3" fontId="2" fillId="5" borderId="0" xfId="0" applyNumberFormat="1" applyFont="1" applyFill="1" applyBorder="1" applyAlignment="1" applyProtection="1">
      <alignment horizontal="center"/>
      <protection hidden="1"/>
    </xf>
    <xf numFmtId="3" fontId="2" fillId="5" borderId="0" xfId="1" applyNumberFormat="1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protection hidden="1"/>
    </xf>
    <xf numFmtId="0" fontId="0" fillId="5" borderId="0" xfId="0" applyFill="1" applyBorder="1" applyAlignment="1" applyProtection="1">
      <protection hidden="1"/>
    </xf>
    <xf numFmtId="0" fontId="10" fillId="5" borderId="0" xfId="0" applyFont="1" applyFill="1" applyBorder="1" applyAlignment="1" applyProtection="1">
      <protection hidden="1"/>
    </xf>
    <xf numFmtId="3" fontId="4" fillId="5" borderId="0" xfId="0" applyNumberFormat="1" applyFont="1" applyFill="1" applyBorder="1" applyAlignment="1" applyProtection="1">
      <alignment horizontal="center"/>
      <protection hidden="1"/>
    </xf>
    <xf numFmtId="0" fontId="8" fillId="5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Border="1" applyAlignment="1" applyProtection="1">
      <protection locked="0"/>
    </xf>
    <xf numFmtId="0" fontId="28" fillId="6" borderId="5" xfId="0" applyFont="1" applyFill="1" applyBorder="1" applyAlignment="1" applyProtection="1">
      <alignment horizontal="center" vertical="center"/>
      <protection hidden="1"/>
    </xf>
    <xf numFmtId="3" fontId="2" fillId="5" borderId="0" xfId="0" applyNumberFormat="1" applyFont="1" applyFill="1" applyBorder="1" applyAlignment="1" applyProtection="1">
      <alignment horizontal="center"/>
      <protection locked="0"/>
    </xf>
    <xf numFmtId="0" fontId="6" fillId="5" borderId="0" xfId="0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vertical="center"/>
      <protection hidden="1"/>
    </xf>
    <xf numFmtId="0" fontId="17" fillId="5" borderId="0" xfId="2" applyFont="1" applyFill="1" applyAlignment="1"/>
    <xf numFmtId="3" fontId="5" fillId="5" borderId="0" xfId="1" applyNumberFormat="1" applyFont="1" applyFill="1" applyBorder="1" applyAlignment="1" applyProtection="1">
      <alignment horizontal="center" vertical="center"/>
      <protection hidden="1"/>
    </xf>
    <xf numFmtId="3" fontId="9" fillId="5" borderId="0" xfId="1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11" fillId="5" borderId="0" xfId="0" applyFont="1" applyFill="1" applyProtection="1">
      <protection hidden="1"/>
    </xf>
    <xf numFmtId="164" fontId="11" fillId="5" borderId="0" xfId="1" applyNumberFormat="1" applyFont="1" applyFill="1" applyProtection="1">
      <protection hidden="1"/>
    </xf>
    <xf numFmtId="43" fontId="11" fillId="5" borderId="0" xfId="1" applyNumberFormat="1" applyFont="1" applyFill="1" applyProtection="1">
      <protection hidden="1"/>
    </xf>
    <xf numFmtId="3" fontId="9" fillId="5" borderId="0" xfId="1" applyNumberFormat="1" applyFont="1" applyFill="1" applyBorder="1" applyAlignment="1" applyProtection="1">
      <alignment vertical="center"/>
      <protection hidden="1"/>
    </xf>
    <xf numFmtId="164" fontId="2" fillId="5" borderId="0" xfId="1" applyNumberFormat="1" applyFont="1" applyFill="1" applyBorder="1" applyAlignment="1" applyProtection="1">
      <alignment vertical="center"/>
      <protection hidden="1"/>
    </xf>
    <xf numFmtId="0" fontId="2" fillId="5" borderId="0" xfId="0" applyFont="1" applyFill="1" applyBorder="1" applyAlignment="1" applyProtection="1">
      <protection hidden="1"/>
    </xf>
    <xf numFmtId="3" fontId="9" fillId="5" borderId="0" xfId="0" applyNumberFormat="1" applyFont="1" applyFill="1" applyBorder="1" applyAlignment="1" applyProtection="1">
      <protection hidden="1"/>
    </xf>
    <xf numFmtId="0" fontId="20" fillId="3" borderId="5" xfId="0" applyFont="1" applyFill="1" applyBorder="1" applyAlignment="1" applyProtection="1">
      <alignment horizontal="center" vertical="center"/>
      <protection hidden="1"/>
    </xf>
    <xf numFmtId="164" fontId="26" fillId="5" borderId="0" xfId="1" applyNumberFormat="1" applyFont="1" applyFill="1" applyBorder="1" applyAlignment="1" applyProtection="1">
      <alignment vertical="center"/>
      <protection hidden="1"/>
    </xf>
    <xf numFmtId="3" fontId="10" fillId="5" borderId="0" xfId="1" applyNumberFormat="1" applyFont="1" applyFill="1" applyBorder="1" applyAlignment="1" applyProtection="1">
      <alignment vertical="center"/>
      <protection hidden="1"/>
    </xf>
    <xf numFmtId="164" fontId="5" fillId="5" borderId="0" xfId="1" applyNumberFormat="1" applyFont="1" applyFill="1" applyBorder="1" applyAlignment="1" applyProtection="1">
      <alignment horizontal="center" vertical="center"/>
      <protection hidden="1"/>
    </xf>
    <xf numFmtId="0" fontId="10" fillId="5" borderId="0" xfId="0" applyFont="1" applyFill="1" applyBorder="1" applyProtection="1">
      <protection hidden="1"/>
    </xf>
    <xf numFmtId="0" fontId="26" fillId="5" borderId="0" xfId="0" applyFont="1" applyFill="1" applyBorder="1" applyAlignment="1" applyProtection="1">
      <protection hidden="1"/>
    </xf>
    <xf numFmtId="3" fontId="10" fillId="5" borderId="0" xfId="0" applyNumberFormat="1" applyFont="1" applyFill="1" applyBorder="1" applyAlignment="1" applyProtection="1">
      <protection hidden="1"/>
    </xf>
    <xf numFmtId="0" fontId="10" fillId="5" borderId="0" xfId="0" applyFont="1" applyFill="1" applyProtection="1">
      <protection hidden="1"/>
    </xf>
    <xf numFmtId="164" fontId="5" fillId="5" borderId="2" xfId="1" applyNumberFormat="1" applyFont="1" applyFill="1" applyBorder="1" applyAlignment="1" applyProtection="1">
      <alignment horizontal="center" vertical="center"/>
      <protection hidden="1"/>
    </xf>
    <xf numFmtId="0" fontId="5" fillId="7" borderId="2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3" fontId="5" fillId="5" borderId="0" xfId="0" applyNumberFormat="1" applyFont="1" applyFill="1" applyBorder="1" applyAlignment="1" applyProtection="1">
      <alignment horizontal="center" vertical="center"/>
      <protection hidden="1"/>
    </xf>
    <xf numFmtId="0" fontId="26" fillId="2" borderId="5" xfId="2" applyFont="1" applyFill="1" applyBorder="1" applyAlignment="1" applyProtection="1">
      <alignment horizontal="center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hidden="1"/>
    </xf>
    <xf numFmtId="0" fontId="26" fillId="5" borderId="0" xfId="2" applyFont="1" applyFill="1" applyBorder="1" applyAlignment="1" applyProtection="1">
      <alignment vertical="center"/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26" fillId="5" borderId="0" xfId="0" applyFont="1" applyFill="1" applyBorder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27" fillId="6" borderId="5" xfId="0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0" fontId="0" fillId="5" borderId="0" xfId="0" applyFill="1" applyBorder="1" applyAlignment="1"/>
    <xf numFmtId="0" fontId="5" fillId="5" borderId="0" xfId="0" applyFont="1" applyFill="1"/>
    <xf numFmtId="0" fontId="5" fillId="5" borderId="0" xfId="0" applyFont="1" applyFill="1" applyBorder="1" applyAlignment="1"/>
    <xf numFmtId="0" fontId="0" fillId="5" borderId="13" xfId="0" applyFill="1" applyBorder="1"/>
    <xf numFmtId="0" fontId="0" fillId="5" borderId="14" xfId="0" applyFill="1" applyBorder="1"/>
    <xf numFmtId="0" fontId="0" fillId="5" borderId="6" xfId="0" applyFill="1" applyBorder="1" applyProtection="1">
      <protection hidden="1"/>
    </xf>
    <xf numFmtId="0" fontId="11" fillId="6" borderId="0" xfId="0" applyFont="1" applyFill="1" applyProtection="1">
      <protection hidden="1"/>
    </xf>
    <xf numFmtId="0" fontId="11" fillId="6" borderId="0" xfId="0" applyFont="1" applyFill="1" applyBorder="1" applyProtection="1">
      <protection hidden="1"/>
    </xf>
    <xf numFmtId="0" fontId="0" fillId="5" borderId="7" xfId="0" applyFill="1" applyBorder="1" applyProtection="1">
      <protection hidden="1"/>
    </xf>
    <xf numFmtId="0" fontId="16" fillId="6" borderId="5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Border="1" applyAlignment="1" applyProtection="1">
      <alignment vertical="center" shrinkToFit="1"/>
      <protection hidden="1"/>
    </xf>
    <xf numFmtId="0" fontId="9" fillId="5" borderId="0" xfId="0" applyFont="1" applyFill="1" applyBorder="1" applyAlignment="1" applyProtection="1">
      <alignment vertical="center" shrinkToFit="1"/>
      <protection hidden="1"/>
    </xf>
    <xf numFmtId="0" fontId="9" fillId="5" borderId="0" xfId="0" applyFont="1" applyFill="1" applyBorder="1" applyAlignment="1" applyProtection="1">
      <alignment vertical="center"/>
      <protection hidden="1"/>
    </xf>
    <xf numFmtId="0" fontId="19" fillId="5" borderId="0" xfId="0" applyFont="1" applyFill="1" applyBorder="1" applyAlignment="1" applyProtection="1">
      <protection hidden="1"/>
    </xf>
    <xf numFmtId="0" fontId="24" fillId="5" borderId="0" xfId="0" applyFont="1" applyFill="1" applyBorder="1" applyAlignment="1" applyProtection="1">
      <protection hidden="1"/>
    </xf>
    <xf numFmtId="0" fontId="23" fillId="5" borderId="0" xfId="0" applyFont="1" applyFill="1" applyBorder="1" applyAlignment="1" applyProtection="1">
      <alignment vertical="center" shrinkToFit="1"/>
      <protection hidden="1"/>
    </xf>
    <xf numFmtId="0" fontId="31" fillId="5" borderId="0" xfId="0" applyFont="1" applyFill="1" applyBorder="1" applyAlignment="1" applyProtection="1">
      <alignment vertical="center" wrapText="1"/>
      <protection hidden="1"/>
    </xf>
    <xf numFmtId="0" fontId="31" fillId="5" borderId="0" xfId="0" applyFont="1" applyFill="1" applyBorder="1" applyAlignment="1" applyProtection="1">
      <alignment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center" vertical="center"/>
      <protection hidden="1"/>
    </xf>
    <xf numFmtId="0" fontId="0" fillId="5" borderId="12" xfId="0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0" fillId="5" borderId="16" xfId="0" applyFill="1" applyBorder="1" applyProtection="1">
      <protection hidden="1"/>
    </xf>
    <xf numFmtId="0" fontId="0" fillId="5" borderId="17" xfId="0" applyFill="1" applyBorder="1" applyProtection="1">
      <protection hidden="1"/>
    </xf>
    <xf numFmtId="0" fontId="0" fillId="5" borderId="18" xfId="0" applyFill="1" applyBorder="1" applyProtection="1">
      <protection hidden="1"/>
    </xf>
    <xf numFmtId="0" fontId="0" fillId="5" borderId="0" xfId="0" applyFont="1" applyFill="1" applyBorder="1" applyAlignment="1" applyProtection="1">
      <alignment horizontal="center"/>
      <protection hidden="1"/>
    </xf>
    <xf numFmtId="0" fontId="0" fillId="5" borderId="2" xfId="0" applyFill="1" applyBorder="1" applyProtection="1"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9" fontId="0" fillId="5" borderId="0" xfId="0" applyNumberFormat="1" applyFont="1" applyFill="1" applyProtection="1">
      <protection hidden="1"/>
    </xf>
    <xf numFmtId="0" fontId="30" fillId="6" borderId="0" xfId="0" applyFont="1" applyFill="1" applyBorder="1" applyAlignment="1" applyProtection="1">
      <alignment vertical="center"/>
      <protection hidden="1"/>
    </xf>
    <xf numFmtId="3" fontId="13" fillId="5" borderId="0" xfId="0" applyNumberFormat="1" applyFont="1" applyFill="1" applyBorder="1" applyAlignment="1" applyProtection="1">
      <alignment horizontal="center" vertical="center"/>
      <protection locked="0" hidden="1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0" fontId="22" fillId="5" borderId="0" xfId="0" applyFont="1" applyFill="1" applyBorder="1" applyAlignment="1" applyProtection="1">
      <alignment horizontal="center" vertical="center"/>
      <protection hidden="1"/>
    </xf>
    <xf numFmtId="3" fontId="2" fillId="5" borderId="0" xfId="1" applyNumberFormat="1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 applyProtection="1">
      <alignment horizontal="center" vertical="center"/>
      <protection hidden="1"/>
    </xf>
    <xf numFmtId="0" fontId="1" fillId="5" borderId="0" xfId="2" applyFont="1" applyFill="1" applyBorder="1" applyAlignment="1" applyProtection="1">
      <alignment vertical="center"/>
      <protection hidden="1"/>
    </xf>
    <xf numFmtId="0" fontId="16" fillId="5" borderId="0" xfId="0" applyFont="1" applyFill="1" applyBorder="1" applyAlignment="1" applyProtection="1">
      <alignment vertical="center"/>
      <protection hidden="1"/>
    </xf>
    <xf numFmtId="0" fontId="20" fillId="5" borderId="0" xfId="0" applyFont="1" applyFill="1" applyBorder="1" applyAlignment="1" applyProtection="1">
      <alignment vertical="center"/>
      <protection hidden="1"/>
    </xf>
    <xf numFmtId="0" fontId="7" fillId="5" borderId="0" xfId="0" applyFont="1" applyFill="1" applyBorder="1" applyAlignment="1" applyProtection="1">
      <protection locked="0"/>
    </xf>
    <xf numFmtId="0" fontId="22" fillId="5" borderId="0" xfId="0" applyFont="1" applyFill="1" applyBorder="1" applyAlignment="1" applyProtection="1">
      <alignment vertical="center"/>
      <protection hidden="1"/>
    </xf>
    <xf numFmtId="3" fontId="2" fillId="5" borderId="0" xfId="1" applyNumberFormat="1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 applyProtection="1">
      <alignment horizontal="center" vertical="center"/>
      <protection locked="0"/>
    </xf>
    <xf numFmtId="0" fontId="26" fillId="5" borderId="0" xfId="2" applyFont="1" applyFill="1" applyBorder="1" applyAlignment="1">
      <alignment vertical="center"/>
    </xf>
    <xf numFmtId="0" fontId="27" fillId="5" borderId="0" xfId="0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4" fillId="5" borderId="0" xfId="0" applyFont="1" applyFill="1" applyBorder="1" applyAlignment="1" applyProtection="1">
      <alignment vertical="center"/>
      <protection hidden="1"/>
    </xf>
    <xf numFmtId="3" fontId="4" fillId="5" borderId="0" xfId="0" applyNumberFormat="1" applyFont="1" applyFill="1" applyBorder="1" applyAlignment="1" applyProtection="1">
      <alignment vertical="center"/>
      <protection hidden="1"/>
    </xf>
    <xf numFmtId="0" fontId="29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hidden="1"/>
    </xf>
    <xf numFmtId="0" fontId="1" fillId="2" borderId="5" xfId="2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6" fillId="8" borderId="5" xfId="0" applyFont="1" applyFill="1" applyBorder="1" applyAlignment="1" applyProtection="1">
      <alignment horizontal="center" vertical="center"/>
      <protection hidden="1"/>
    </xf>
    <xf numFmtId="0" fontId="19" fillId="6" borderId="19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 shrinkToFit="1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 shrinkToFit="1"/>
      <protection hidden="1"/>
    </xf>
    <xf numFmtId="0" fontId="4" fillId="4" borderId="9" xfId="0" applyFont="1" applyFill="1" applyBorder="1" applyAlignment="1" applyProtection="1">
      <alignment horizontal="center" vertical="center" shrinkToFit="1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1" fillId="4" borderId="5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0" fontId="1" fillId="5" borderId="0" xfId="0" applyFont="1" applyFill="1" applyBorder="1" applyProtection="1">
      <protection hidden="1"/>
    </xf>
    <xf numFmtId="0" fontId="1" fillId="5" borderId="7" xfId="0" applyFont="1" applyFill="1" applyBorder="1" applyProtection="1">
      <protection hidden="1"/>
    </xf>
    <xf numFmtId="3" fontId="40" fillId="2" borderId="1" xfId="1" applyNumberFormat="1" applyFont="1" applyFill="1" applyBorder="1" applyAlignment="1" applyProtection="1">
      <alignment horizontal="center" vertical="center"/>
      <protection locked="0"/>
    </xf>
    <xf numFmtId="3" fontId="40" fillId="2" borderId="3" xfId="1" applyNumberFormat="1" applyFont="1" applyFill="1" applyBorder="1" applyAlignment="1" applyProtection="1">
      <alignment horizontal="center" vertical="center"/>
      <protection locked="0"/>
    </xf>
    <xf numFmtId="0" fontId="40" fillId="2" borderId="8" xfId="0" applyFont="1" applyFill="1" applyBorder="1" applyAlignment="1" applyProtection="1">
      <alignment horizontal="center" vertical="center"/>
      <protection locked="0"/>
    </xf>
    <xf numFmtId="0" fontId="40" fillId="2" borderId="9" xfId="0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>
      <alignment horizontal="center" vertical="center"/>
    </xf>
    <xf numFmtId="3" fontId="40" fillId="2" borderId="1" xfId="0" applyNumberFormat="1" applyFont="1" applyFill="1" applyBorder="1" applyAlignment="1" applyProtection="1">
      <alignment horizontal="center" vertical="center"/>
      <protection locked="0" hidden="1"/>
    </xf>
    <xf numFmtId="3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0" fontId="29" fillId="3" borderId="8" xfId="0" applyFont="1" applyFill="1" applyBorder="1" applyAlignment="1" applyProtection="1">
      <alignment horizontal="center" vertical="center"/>
      <protection locked="0"/>
    </xf>
    <xf numFmtId="0" fontId="28" fillId="3" borderId="9" xfId="0" applyFont="1" applyFill="1" applyBorder="1" applyAlignment="1" applyProtection="1">
      <alignment horizontal="center" vertical="center"/>
      <protection hidden="1"/>
    </xf>
    <xf numFmtId="0" fontId="11" fillId="8" borderId="0" xfId="0" applyFont="1" applyFill="1"/>
    <xf numFmtId="0" fontId="11" fillId="8" borderId="0" xfId="0" applyFont="1" applyFill="1" applyBorder="1"/>
    <xf numFmtId="2" fontId="0" fillId="5" borderId="0" xfId="0" applyNumberFormat="1" applyFont="1" applyFill="1" applyAlignment="1" applyProtection="1">
      <alignment horizontal="center" vertical="center"/>
      <protection hidden="1"/>
    </xf>
    <xf numFmtId="0" fontId="45" fillId="5" borderId="10" xfId="0" applyFont="1" applyFill="1" applyBorder="1" applyAlignment="1" applyProtection="1">
      <alignment horizontal="left"/>
      <protection hidden="1"/>
    </xf>
    <xf numFmtId="0" fontId="45" fillId="5" borderId="10" xfId="0" applyFont="1" applyFill="1" applyBorder="1" applyProtection="1">
      <protection hidden="1"/>
    </xf>
    <xf numFmtId="0" fontId="17" fillId="5" borderId="0" xfId="0" applyFont="1" applyFill="1" applyAlignment="1">
      <alignment horizontal="center"/>
    </xf>
    <xf numFmtId="0" fontId="16" fillId="6" borderId="0" xfId="2" applyFont="1" applyFill="1" applyBorder="1" applyAlignment="1">
      <alignment horizontal="center" vertical="center"/>
    </xf>
    <xf numFmtId="0" fontId="20" fillId="6" borderId="0" xfId="2" applyFont="1" applyFill="1" applyBorder="1" applyAlignment="1">
      <alignment horizontal="center" vertical="center"/>
    </xf>
    <xf numFmtId="0" fontId="16" fillId="6" borderId="0" xfId="2" applyFont="1" applyFill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17" fillId="5" borderId="0" xfId="2" applyFont="1" applyFill="1" applyAlignment="1">
      <alignment horizontal="center"/>
    </xf>
    <xf numFmtId="0" fontId="17" fillId="5" borderId="0" xfId="2" applyFont="1" applyFill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39" fillId="8" borderId="0" xfId="0" applyFont="1" applyFill="1" applyBorder="1" applyAlignment="1">
      <alignment horizontal="center" vertical="center"/>
    </xf>
    <xf numFmtId="0" fontId="25" fillId="8" borderId="0" xfId="0" applyFont="1" applyFill="1" applyBorder="1" applyAlignment="1">
      <alignment horizontal="center"/>
    </xf>
    <xf numFmtId="0" fontId="1" fillId="2" borderId="1" xfId="2" applyFont="1" applyFill="1" applyBorder="1" applyAlignment="1" applyProtection="1">
      <alignment horizontal="center" vertical="center"/>
      <protection hidden="1"/>
    </xf>
    <xf numFmtId="0" fontId="1" fillId="2" borderId="4" xfId="2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10" fillId="5" borderId="0" xfId="0" applyFont="1" applyFill="1" applyBorder="1" applyAlignment="1" applyProtection="1">
      <alignment horizont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3" borderId="3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/>
      <protection hidden="1"/>
    </xf>
    <xf numFmtId="0" fontId="16" fillId="8" borderId="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6" fillId="2" borderId="4" xfId="2" applyFont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/>
      <protection hidden="1"/>
    </xf>
    <xf numFmtId="3" fontId="4" fillId="5" borderId="0" xfId="0" applyNumberFormat="1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44" fillId="2" borderId="8" xfId="0" applyFont="1" applyFill="1" applyBorder="1" applyAlignment="1" applyProtection="1">
      <alignment horizontal="center" vertical="center"/>
      <protection locked="0"/>
    </xf>
    <xf numFmtId="0" fontId="44" fillId="2" borderId="10" xfId="0" applyFont="1" applyFill="1" applyBorder="1" applyAlignment="1" applyProtection="1">
      <alignment horizontal="center" vertical="center"/>
      <protection locked="0"/>
    </xf>
    <xf numFmtId="0" fontId="44" fillId="2" borderId="9" xfId="0" applyFont="1" applyFill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/>
      <protection hidden="1"/>
    </xf>
    <xf numFmtId="0" fontId="22" fillId="3" borderId="9" xfId="0" applyFont="1" applyFill="1" applyBorder="1" applyAlignment="1" applyProtection="1">
      <alignment horizontal="center" vertical="center"/>
      <protection hidden="1"/>
    </xf>
    <xf numFmtId="0" fontId="16" fillId="8" borderId="1" xfId="0" applyFont="1" applyFill="1" applyBorder="1" applyAlignment="1" applyProtection="1">
      <alignment horizontal="center" vertical="center"/>
      <protection hidden="1"/>
    </xf>
    <xf numFmtId="0" fontId="16" fillId="8" borderId="4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9" fillId="6" borderId="20" xfId="0" applyFont="1" applyFill="1" applyBorder="1" applyAlignment="1" applyProtection="1">
      <alignment horizontal="center" vertical="center"/>
      <protection hidden="1"/>
    </xf>
    <xf numFmtId="0" fontId="19" fillId="6" borderId="21" xfId="0" applyFont="1" applyFill="1" applyBorder="1" applyAlignment="1" applyProtection="1">
      <alignment horizontal="center" vertical="center"/>
      <protection hidden="1"/>
    </xf>
    <xf numFmtId="0" fontId="1" fillId="5" borderId="0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right" vertical="center" shrinkToFit="1"/>
      <protection hidden="1"/>
    </xf>
    <xf numFmtId="0" fontId="4" fillId="5" borderId="10" xfId="0" applyFont="1" applyFill="1" applyBorder="1" applyAlignment="1" applyProtection="1">
      <alignment horizontal="right" vertical="center" shrinkToFit="1"/>
      <protection hidden="1"/>
    </xf>
    <xf numFmtId="0" fontId="4" fillId="5" borderId="9" xfId="0" applyFont="1" applyFill="1" applyBorder="1" applyAlignment="1" applyProtection="1">
      <alignment horizontal="right" vertical="center" shrinkToFit="1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right" vertical="center" shrinkToFit="1"/>
      <protection hidden="1"/>
    </xf>
    <xf numFmtId="0" fontId="4" fillId="4" borderId="10" xfId="0" applyFont="1" applyFill="1" applyBorder="1" applyAlignment="1" applyProtection="1">
      <alignment horizontal="right" vertical="center" shrinkToFit="1"/>
      <protection hidden="1"/>
    </xf>
    <xf numFmtId="0" fontId="4" fillId="4" borderId="9" xfId="0" applyFont="1" applyFill="1" applyBorder="1" applyAlignment="1" applyProtection="1">
      <alignment horizontal="right" vertical="center" shrinkToFit="1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5" fillId="5" borderId="8" xfId="0" applyFont="1" applyFill="1" applyBorder="1" applyAlignment="1" applyProtection="1">
      <alignment horizontal="right" vertical="center" shrinkToFit="1"/>
      <protection hidden="1"/>
    </xf>
    <xf numFmtId="0" fontId="5" fillId="5" borderId="10" xfId="0" applyFont="1" applyFill="1" applyBorder="1" applyAlignment="1" applyProtection="1">
      <alignment horizontal="right" vertical="center" shrinkToFit="1"/>
      <protection hidden="1"/>
    </xf>
    <xf numFmtId="0" fontId="5" fillId="5" borderId="9" xfId="0" applyFont="1" applyFill="1" applyBorder="1" applyAlignment="1" applyProtection="1">
      <alignment horizontal="right" vertical="center" shrinkToFit="1"/>
      <protection hidden="1"/>
    </xf>
    <xf numFmtId="0" fontId="0" fillId="5" borderId="8" xfId="0" applyFont="1" applyFill="1" applyBorder="1" applyAlignment="1" applyProtection="1">
      <alignment horizontal="center" vertical="center"/>
      <protection hidden="1"/>
    </xf>
    <xf numFmtId="0" fontId="0" fillId="5" borderId="10" xfId="0" applyFont="1" applyFill="1" applyBorder="1" applyAlignment="1" applyProtection="1">
      <alignment horizontal="center" vertical="center"/>
      <protection hidden="1"/>
    </xf>
    <xf numFmtId="0" fontId="0" fillId="5" borderId="9" xfId="0" applyFont="1" applyFill="1" applyBorder="1" applyAlignment="1" applyProtection="1">
      <alignment horizontal="center" vertical="center"/>
      <protection hidden="1"/>
    </xf>
    <xf numFmtId="0" fontId="24" fillId="6" borderId="8" xfId="0" applyFont="1" applyFill="1" applyBorder="1" applyAlignment="1" applyProtection="1">
      <alignment horizontal="center"/>
      <protection hidden="1"/>
    </xf>
    <xf numFmtId="0" fontId="24" fillId="6" borderId="10" xfId="0" applyFont="1" applyFill="1" applyBorder="1" applyAlignment="1" applyProtection="1">
      <alignment horizontal="center"/>
      <protection hidden="1"/>
    </xf>
    <xf numFmtId="0" fontId="24" fillId="6" borderId="9" xfId="0" applyFont="1" applyFill="1" applyBorder="1" applyAlignment="1" applyProtection="1">
      <alignment horizontal="center"/>
      <protection hidden="1"/>
    </xf>
    <xf numFmtId="0" fontId="19" fillId="6" borderId="8" xfId="0" applyFont="1" applyFill="1" applyBorder="1" applyAlignment="1" applyProtection="1">
      <alignment horizontal="center"/>
      <protection hidden="1"/>
    </xf>
    <xf numFmtId="0" fontId="19" fillId="6" borderId="10" xfId="0" applyFont="1" applyFill="1" applyBorder="1" applyAlignment="1" applyProtection="1">
      <alignment horizontal="center"/>
      <protection hidden="1"/>
    </xf>
    <xf numFmtId="0" fontId="19" fillId="6" borderId="9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 vertical="center" wrapText="1"/>
      <protection hidden="1"/>
    </xf>
    <xf numFmtId="0" fontId="43" fillId="5" borderId="10" xfId="0" applyFont="1" applyFill="1" applyBorder="1" applyAlignment="1" applyProtection="1">
      <alignment horizontal="center" vertical="center"/>
      <protection hidden="1"/>
    </xf>
    <xf numFmtId="0" fontId="43" fillId="5" borderId="9" xfId="0" applyFont="1" applyFill="1" applyBorder="1" applyAlignment="1" applyProtection="1">
      <alignment horizontal="center" vertical="center"/>
      <protection hidden="1"/>
    </xf>
    <xf numFmtId="0" fontId="23" fillId="5" borderId="8" xfId="0" applyFont="1" applyFill="1" applyBorder="1" applyAlignment="1" applyProtection="1">
      <alignment horizontal="right" vertical="center" shrinkToFit="1"/>
      <protection hidden="1"/>
    </xf>
    <xf numFmtId="0" fontId="23" fillId="5" borderId="10" xfId="0" applyFont="1" applyFill="1" applyBorder="1" applyAlignment="1" applyProtection="1">
      <alignment horizontal="right" vertical="center" shrinkToFit="1"/>
      <protection hidden="1"/>
    </xf>
    <xf numFmtId="0" fontId="23" fillId="5" borderId="9" xfId="0" applyFont="1" applyFill="1" applyBorder="1" applyAlignment="1" applyProtection="1">
      <alignment horizontal="right" vertical="center" shrinkToFit="1"/>
      <protection hidden="1"/>
    </xf>
    <xf numFmtId="0" fontId="0" fillId="5" borderId="8" xfId="0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 applyProtection="1">
      <alignment horizontal="center" vertical="center"/>
      <protection hidden="1"/>
    </xf>
    <xf numFmtId="0" fontId="0" fillId="5" borderId="9" xfId="0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right" vertical="center" shrinkToFit="1"/>
      <protection hidden="1"/>
    </xf>
    <xf numFmtId="0" fontId="2" fillId="4" borderId="10" xfId="0" applyFont="1" applyFill="1" applyBorder="1" applyAlignment="1" applyProtection="1">
      <alignment horizontal="right" vertical="center" shrinkToFit="1"/>
      <protection hidden="1"/>
    </xf>
    <xf numFmtId="0" fontId="2" fillId="4" borderId="9" xfId="0" applyFont="1" applyFill="1" applyBorder="1" applyAlignment="1" applyProtection="1">
      <alignment horizontal="right" vertical="center" shrinkToFit="1"/>
      <protection hidden="1"/>
    </xf>
    <xf numFmtId="0" fontId="42" fillId="4" borderId="8" xfId="0" applyFont="1" applyFill="1" applyBorder="1" applyAlignment="1" applyProtection="1">
      <alignment horizontal="right" vertical="center" shrinkToFit="1"/>
      <protection hidden="1"/>
    </xf>
    <xf numFmtId="0" fontId="42" fillId="4" borderId="10" xfId="0" applyFont="1" applyFill="1" applyBorder="1" applyAlignment="1" applyProtection="1">
      <alignment horizontal="right" vertical="center" shrinkToFit="1"/>
      <protection hidden="1"/>
    </xf>
    <xf numFmtId="0" fontId="42" fillId="4" borderId="9" xfId="0" applyFont="1" applyFill="1" applyBorder="1" applyAlignment="1" applyProtection="1">
      <alignment horizontal="right" vertical="center" shrinkToFit="1"/>
      <protection hidden="1"/>
    </xf>
    <xf numFmtId="0" fontId="42" fillId="4" borderId="8" xfId="0" applyFont="1" applyFill="1" applyBorder="1" applyAlignment="1" applyProtection="1">
      <alignment horizontal="center" vertical="center"/>
      <protection hidden="1"/>
    </xf>
    <xf numFmtId="0" fontId="42" fillId="4" borderId="10" xfId="0" applyFont="1" applyFill="1" applyBorder="1" applyAlignment="1" applyProtection="1">
      <alignment horizontal="center" vertical="center"/>
      <protection hidden="1"/>
    </xf>
    <xf numFmtId="0" fontId="42" fillId="4" borderId="9" xfId="0" applyFont="1" applyFill="1" applyBorder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center" vertical="center" shrinkToFit="1"/>
      <protection hidden="1"/>
    </xf>
    <xf numFmtId="0" fontId="9" fillId="5" borderId="10" xfId="0" applyFont="1" applyFill="1" applyBorder="1" applyAlignment="1" applyProtection="1">
      <alignment horizontal="center" vertical="center" shrinkToFit="1"/>
      <protection hidden="1"/>
    </xf>
    <xf numFmtId="0" fontId="9" fillId="5" borderId="9" xfId="0" applyFont="1" applyFill="1" applyBorder="1" applyAlignment="1" applyProtection="1">
      <alignment horizontal="center" vertical="center" shrinkToFit="1"/>
      <protection hidden="1"/>
    </xf>
    <xf numFmtId="0" fontId="9" fillId="5" borderId="8" xfId="0" applyFont="1" applyFill="1" applyBorder="1" applyAlignment="1" applyProtection="1">
      <alignment horizontal="center" vertical="center"/>
      <protection hidden="1"/>
    </xf>
    <xf numFmtId="0" fontId="9" fillId="5" borderId="10" xfId="0" applyFont="1" applyFill="1" applyBorder="1" applyAlignment="1" applyProtection="1">
      <alignment horizontal="center" vertical="center"/>
      <protection hidden="1"/>
    </xf>
    <xf numFmtId="0" fontId="9" fillId="5" borderId="9" xfId="0" applyFont="1" applyFill="1" applyBorder="1" applyAlignment="1" applyProtection="1">
      <alignment horizontal="center" vertical="center"/>
      <protection hidden="1"/>
    </xf>
    <xf numFmtId="0" fontId="42" fillId="5" borderId="8" xfId="0" applyFont="1" applyFill="1" applyBorder="1" applyAlignment="1" applyProtection="1">
      <alignment horizontal="right" vertical="center" shrinkToFit="1"/>
      <protection hidden="1"/>
    </xf>
    <xf numFmtId="0" fontId="42" fillId="5" borderId="10" xfId="0" applyFont="1" applyFill="1" applyBorder="1" applyAlignment="1" applyProtection="1">
      <alignment horizontal="right" vertical="center" shrinkToFit="1"/>
      <protection hidden="1"/>
    </xf>
    <xf numFmtId="0" fontId="42" fillId="5" borderId="9" xfId="0" applyFont="1" applyFill="1" applyBorder="1" applyAlignment="1" applyProtection="1">
      <alignment horizontal="right" vertical="center" shrinkToFit="1"/>
      <protection hidden="1"/>
    </xf>
    <xf numFmtId="0" fontId="42" fillId="5" borderId="8" xfId="0" applyFont="1" applyFill="1" applyBorder="1" applyAlignment="1" applyProtection="1">
      <alignment horizontal="center" vertical="center"/>
      <protection hidden="1"/>
    </xf>
    <xf numFmtId="0" fontId="42" fillId="5" borderId="10" xfId="0" applyFont="1" applyFill="1" applyBorder="1" applyAlignment="1" applyProtection="1">
      <alignment horizontal="center" vertical="center"/>
      <protection hidden="1"/>
    </xf>
    <xf numFmtId="0" fontId="42" fillId="5" borderId="9" xfId="0" applyFont="1" applyFill="1" applyBorder="1" applyAlignment="1" applyProtection="1">
      <alignment horizontal="center" vertical="center"/>
      <protection hidden="1"/>
    </xf>
    <xf numFmtId="0" fontId="32" fillId="6" borderId="0" xfId="0" applyFont="1" applyFill="1" applyBorder="1" applyAlignment="1" applyProtection="1">
      <alignment horizontal="center" vertical="center"/>
      <protection hidden="1"/>
    </xf>
    <xf numFmtId="0" fontId="1" fillId="2" borderId="0" xfId="2" applyFont="1" applyFill="1" applyBorder="1" applyAlignment="1" applyProtection="1">
      <alignment horizontal="center" vertical="center"/>
      <protection hidden="1"/>
    </xf>
    <xf numFmtId="0" fontId="1" fillId="2" borderId="11" xfId="2" applyFont="1" applyFill="1" applyBorder="1" applyAlignment="1" applyProtection="1">
      <alignment horizontal="center" vertical="center"/>
      <protection hidden="1"/>
    </xf>
    <xf numFmtId="0" fontId="0" fillId="5" borderId="0" xfId="0" applyFont="1" applyFill="1" applyBorder="1" applyAlignment="1" applyProtection="1">
      <alignment horizontal="center"/>
      <protection hidden="1"/>
    </xf>
    <xf numFmtId="0" fontId="5" fillId="5" borderId="0" xfId="0" applyFont="1" applyFill="1" applyBorder="1" applyAlignment="1" applyProtection="1">
      <alignment horizontal="right" vertical="center" shrinkToFit="1"/>
      <protection hidden="1"/>
    </xf>
    <xf numFmtId="0" fontId="0" fillId="5" borderId="0" xfId="0" applyFont="1" applyFill="1" applyBorder="1" applyAlignment="1" applyProtection="1">
      <alignment horizontal="center" vertical="center"/>
      <protection hidden="1"/>
    </xf>
    <xf numFmtId="0" fontId="19" fillId="6" borderId="0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 shrinkToFit="1"/>
      <protection hidden="1"/>
    </xf>
    <xf numFmtId="0" fontId="4" fillId="4" borderId="10" xfId="0" applyFont="1" applyFill="1" applyBorder="1" applyAlignment="1" applyProtection="1">
      <alignment horizontal="center" vertical="center" shrinkToFit="1"/>
      <protection hidden="1"/>
    </xf>
    <xf numFmtId="0" fontId="4" fillId="4" borderId="9" xfId="0" applyFont="1" applyFill="1" applyBorder="1" applyAlignment="1" applyProtection="1">
      <alignment horizontal="center" vertical="center" shrinkToFit="1"/>
      <protection hidden="1"/>
    </xf>
    <xf numFmtId="0" fontId="1" fillId="5" borderId="8" xfId="0" applyFont="1" applyFill="1" applyBorder="1" applyAlignment="1" applyProtection="1">
      <alignment horizontal="center" vertical="center" wrapText="1"/>
      <protection hidden="1"/>
    </xf>
    <xf numFmtId="0" fontId="4" fillId="4" borderId="8" xfId="0" applyFont="1" applyFill="1" applyBorder="1" applyAlignment="1" applyProtection="1">
      <alignment horizontal="center" vertical="center" wrapText="1" shrinkToFit="1"/>
      <protection hidden="1"/>
    </xf>
    <xf numFmtId="0" fontId="4" fillId="2" borderId="0" xfId="2" applyFont="1" applyFill="1" applyBorder="1" applyAlignment="1" applyProtection="1">
      <alignment horizontal="center" vertical="center"/>
      <protection hidden="1"/>
    </xf>
    <xf numFmtId="0" fontId="4" fillId="2" borderId="11" xfId="2" applyFont="1" applyFill="1" applyBorder="1" applyAlignment="1" applyProtection="1">
      <alignment horizontal="center" vertical="center"/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16" fillId="6" borderId="10" xfId="0" applyFont="1" applyFill="1" applyBorder="1" applyAlignment="1" applyProtection="1">
      <alignment horizontal="center" vertical="center"/>
      <protection hidden="1"/>
    </xf>
    <xf numFmtId="0" fontId="16" fillId="6" borderId="9" xfId="0" applyFont="1" applyFill="1" applyBorder="1" applyAlignment="1" applyProtection="1">
      <alignment horizontal="center" vertical="center"/>
      <protection hidden="1"/>
    </xf>
    <xf numFmtId="0" fontId="38" fillId="5" borderId="7" xfId="0" applyFont="1" applyFill="1" applyBorder="1" applyAlignment="1" applyProtection="1">
      <alignment horizontal="right" vertical="center" wrapText="1" indent="1"/>
      <protection hidden="1"/>
    </xf>
    <xf numFmtId="0" fontId="38" fillId="5" borderId="0" xfId="0" applyFont="1" applyFill="1" applyAlignment="1" applyProtection="1">
      <alignment horizontal="right" vertical="center" indent="1"/>
      <protection hidden="1"/>
    </xf>
    <xf numFmtId="0" fontId="38" fillId="5" borderId="6" xfId="0" applyFont="1" applyFill="1" applyBorder="1" applyAlignment="1" applyProtection="1">
      <alignment horizontal="right" vertical="center" indent="1"/>
      <protection hidden="1"/>
    </xf>
    <xf numFmtId="0" fontId="38" fillId="5" borderId="7" xfId="0" applyFont="1" applyFill="1" applyBorder="1" applyAlignment="1" applyProtection="1">
      <alignment horizontal="right" vertical="center" indent="1"/>
      <protection hidden="1"/>
    </xf>
    <xf numFmtId="0" fontId="41" fillId="5" borderId="7" xfId="0" applyFont="1" applyFill="1" applyBorder="1" applyAlignment="1" applyProtection="1">
      <alignment horizontal="right" vertical="center" indent="1"/>
      <protection hidden="1"/>
    </xf>
    <xf numFmtId="0" fontId="41" fillId="5" borderId="0" xfId="0" applyFont="1" applyFill="1" applyAlignment="1" applyProtection="1">
      <alignment horizontal="right" vertical="center" indent="1"/>
      <protection hidden="1"/>
    </xf>
    <xf numFmtId="0" fontId="41" fillId="5" borderId="6" xfId="0" applyFont="1" applyFill="1" applyBorder="1" applyAlignment="1" applyProtection="1">
      <alignment horizontal="right" vertical="center" indent="1"/>
      <protection hidden="1"/>
    </xf>
    <xf numFmtId="0" fontId="38" fillId="5" borderId="7" xfId="0" applyFont="1" applyFill="1" applyBorder="1" applyAlignment="1" applyProtection="1">
      <alignment horizontal="right" vertical="center" indent="1" readingOrder="2"/>
      <protection hidden="1"/>
    </xf>
    <xf numFmtId="0" fontId="38" fillId="5" borderId="0" xfId="0" applyFont="1" applyFill="1" applyAlignment="1" applyProtection="1">
      <alignment horizontal="right" vertical="center" indent="1" readingOrder="2"/>
      <protection hidden="1"/>
    </xf>
    <xf numFmtId="0" fontId="38" fillId="5" borderId="6" xfId="0" applyFont="1" applyFill="1" applyBorder="1" applyAlignment="1" applyProtection="1">
      <alignment horizontal="right" vertical="center" indent="1" readingOrder="2"/>
      <protection hidden="1"/>
    </xf>
    <xf numFmtId="0" fontId="38" fillId="5" borderId="7" xfId="0" applyFont="1" applyFill="1" applyBorder="1" applyAlignment="1" applyProtection="1">
      <alignment horizontal="right" vertical="center" wrapText="1" indent="1" readingOrder="2"/>
      <protection hidden="1"/>
    </xf>
    <xf numFmtId="0" fontId="36" fillId="5" borderId="13" xfId="0" applyFont="1" applyFill="1" applyBorder="1" applyAlignment="1" applyProtection="1">
      <alignment horizontal="right" vertical="center" indent="1"/>
      <protection hidden="1"/>
    </xf>
    <xf numFmtId="0" fontId="36" fillId="5" borderId="14" xfId="0" applyFont="1" applyFill="1" applyBorder="1" applyAlignment="1" applyProtection="1">
      <alignment horizontal="right" vertical="center" indent="1"/>
      <protection hidden="1"/>
    </xf>
    <xf numFmtId="0" fontId="36" fillId="5" borderId="15" xfId="0" applyFont="1" applyFill="1" applyBorder="1" applyAlignment="1" applyProtection="1">
      <alignment horizontal="right" vertical="center" indent="1"/>
      <protection hidden="1"/>
    </xf>
    <xf numFmtId="0" fontId="35" fillId="5" borderId="0" xfId="0" applyFont="1" applyFill="1" applyBorder="1" applyAlignment="1" applyProtection="1">
      <alignment horizontal="right" vertical="center" indent="1"/>
      <protection hidden="1"/>
    </xf>
    <xf numFmtId="0" fontId="36" fillId="5" borderId="0" xfId="0" applyFont="1" applyFill="1" applyBorder="1" applyAlignment="1" applyProtection="1">
      <alignment horizontal="right" vertical="center" indent="1"/>
      <protection hidden="1"/>
    </xf>
    <xf numFmtId="0" fontId="22" fillId="6" borderId="0" xfId="0" applyFont="1" applyFill="1" applyAlignment="1" applyProtection="1">
      <alignment horizontal="center" vertical="center"/>
      <protection hidden="1"/>
    </xf>
    <xf numFmtId="0" fontId="22" fillId="3" borderId="1" xfId="0" applyFont="1" applyFill="1" applyBorder="1" applyAlignment="1" applyProtection="1">
      <alignment horizontal="center" vertical="center"/>
      <protection hidden="1"/>
    </xf>
    <xf numFmtId="0" fontId="22" fillId="3" borderId="4" xfId="0" applyFont="1" applyFill="1" applyBorder="1" applyAlignment="1" applyProtection="1">
      <alignment horizontal="center" vertical="center"/>
      <protection hidden="1"/>
    </xf>
    <xf numFmtId="0" fontId="16" fillId="3" borderId="8" xfId="0" applyFont="1" applyFill="1" applyBorder="1" applyAlignment="1" applyProtection="1">
      <alignment horizontal="center" vertical="center"/>
      <protection hidden="1"/>
    </xf>
    <xf numFmtId="0" fontId="16" fillId="3" borderId="10" xfId="0" applyFont="1" applyFill="1" applyBorder="1" applyAlignment="1" applyProtection="1">
      <alignment horizontal="center" vertical="center"/>
      <protection hidden="1"/>
    </xf>
    <xf numFmtId="3" fontId="40" fillId="2" borderId="1" xfId="1" applyNumberFormat="1" applyFont="1" applyFill="1" applyBorder="1" applyAlignment="1" applyProtection="1">
      <alignment horizontal="center" vertical="center"/>
      <protection locked="0"/>
    </xf>
    <xf numFmtId="3" fontId="40" fillId="2" borderId="3" xfId="1" applyNumberFormat="1" applyFont="1" applyFill="1" applyBorder="1" applyAlignment="1" applyProtection="1">
      <alignment horizontal="center" vertical="center"/>
      <protection locked="0"/>
    </xf>
    <xf numFmtId="0" fontId="16" fillId="3" borderId="9" xfId="0" applyFont="1" applyFill="1" applyBorder="1" applyAlignment="1" applyProtection="1">
      <alignment horizontal="center" vertical="center"/>
      <protection hidden="1"/>
    </xf>
    <xf numFmtId="0" fontId="19" fillId="6" borderId="20" xfId="0" applyFont="1" applyFill="1" applyBorder="1" applyAlignment="1" applyProtection="1">
      <alignment horizontal="center" vertical="center"/>
      <protection locked="0"/>
    </xf>
    <xf numFmtId="0" fontId="19" fillId="6" borderId="21" xfId="0" applyFont="1" applyFill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9" fillId="6" borderId="19" xfId="0" applyFont="1" applyFill="1" applyBorder="1" applyAlignment="1" applyProtection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D7E5F5"/>
      <color rgb="FFE7F27E"/>
      <color rgb="FF578BF3"/>
      <color rgb="FFCCF3FC"/>
      <color rgb="FFF27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showRowColHeaders="0" rightToLeft="1" tabSelected="1" zoomScale="112" zoomScaleNormal="112" workbookViewId="0"/>
  </sheetViews>
  <sheetFormatPr defaultColWidth="9.140625" defaultRowHeight="15" x14ac:dyDescent="0.25"/>
  <cols>
    <col min="1" max="1" width="2.7109375" style="2" customWidth="1"/>
    <col min="2" max="4" width="9.140625" style="2"/>
    <col min="5" max="5" width="9.140625" style="2" customWidth="1"/>
    <col min="6" max="6" width="3.5703125" style="2" customWidth="1"/>
    <col min="7" max="8" width="9.140625" style="2"/>
    <col min="9" max="9" width="15.42578125" style="2" customWidth="1"/>
    <col min="10" max="10" width="4.85546875" style="2" customWidth="1"/>
    <col min="11" max="16384" width="9.140625" style="2"/>
  </cols>
  <sheetData>
    <row r="1" spans="1:1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174"/>
      <c r="C2" s="174"/>
      <c r="D2" s="174"/>
      <c r="E2" s="174"/>
      <c r="F2" s="174"/>
      <c r="G2" s="174"/>
      <c r="H2" s="174"/>
      <c r="I2" s="174"/>
      <c r="J2" s="175"/>
      <c r="K2" s="175"/>
      <c r="L2" s="175"/>
      <c r="M2" s="175"/>
      <c r="N2" s="175"/>
      <c r="O2" s="4"/>
    </row>
    <row r="3" spans="1:16" x14ac:dyDescent="0.25">
      <c r="A3" s="3"/>
      <c r="B3" s="174"/>
      <c r="C3" s="174"/>
      <c r="D3" s="174"/>
      <c r="E3" s="174"/>
      <c r="F3" s="174"/>
      <c r="G3" s="189" t="s">
        <v>91</v>
      </c>
      <c r="H3" s="189"/>
      <c r="I3" s="189"/>
      <c r="J3" s="175"/>
      <c r="K3" s="175"/>
      <c r="L3" s="175"/>
      <c r="M3" s="175"/>
      <c r="N3" s="175"/>
      <c r="O3" s="4"/>
    </row>
    <row r="4" spans="1:16" x14ac:dyDescent="0.25">
      <c r="A4" s="3"/>
      <c r="B4" s="174"/>
      <c r="C4" s="174"/>
      <c r="D4" s="174"/>
      <c r="E4" s="174"/>
      <c r="F4" s="174"/>
      <c r="G4" s="189"/>
      <c r="H4" s="189"/>
      <c r="I4" s="189"/>
      <c r="J4" s="174"/>
      <c r="K4" s="175"/>
      <c r="L4" s="175"/>
      <c r="M4" s="175"/>
      <c r="N4" s="175"/>
      <c r="O4" s="4"/>
    </row>
    <row r="5" spans="1:16" x14ac:dyDescent="0.25">
      <c r="A5" s="3"/>
      <c r="B5" s="174"/>
      <c r="C5" s="190" t="s">
        <v>275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75"/>
      <c r="O5" s="4"/>
    </row>
    <row r="6" spans="1:16" x14ac:dyDescent="0.25">
      <c r="A6" s="3"/>
      <c r="B6" s="174"/>
      <c r="C6" s="174"/>
      <c r="D6" s="174"/>
      <c r="E6" s="174"/>
      <c r="F6" s="174"/>
      <c r="G6" s="174"/>
      <c r="H6" s="174"/>
      <c r="I6" s="174"/>
      <c r="J6" s="175"/>
      <c r="K6" s="175"/>
      <c r="L6" s="175"/>
      <c r="M6" s="175"/>
      <c r="N6" s="175"/>
      <c r="O6" s="4"/>
    </row>
    <row r="7" spans="1:16" ht="6" customHeight="1" x14ac:dyDescent="0.25">
      <c r="A7" s="3"/>
      <c r="J7" s="1"/>
      <c r="K7" s="1"/>
      <c r="L7" s="1"/>
      <c r="M7" s="1"/>
      <c r="N7" s="1"/>
      <c r="O7" s="4"/>
    </row>
    <row r="8" spans="1:16" ht="3.75" customHeight="1" x14ac:dyDescent="0.25">
      <c r="A8" s="3"/>
      <c r="J8" s="1"/>
      <c r="K8" s="1"/>
      <c r="L8" s="1"/>
      <c r="M8" s="1"/>
      <c r="N8" s="1"/>
      <c r="O8" s="4"/>
    </row>
    <row r="9" spans="1:16" ht="25.5" customHeight="1" x14ac:dyDescent="0.35">
      <c r="A9" s="3"/>
      <c r="C9" s="181" t="s">
        <v>133</v>
      </c>
      <c r="D9" s="181"/>
      <c r="E9" s="181"/>
      <c r="F9" s="5"/>
      <c r="G9" s="180" t="s">
        <v>23</v>
      </c>
      <c r="H9" s="180"/>
      <c r="I9" s="180"/>
      <c r="J9" s="6"/>
      <c r="K9" s="181" t="s">
        <v>40</v>
      </c>
      <c r="L9" s="181"/>
      <c r="M9" s="181"/>
      <c r="N9" s="1"/>
      <c r="O9" s="4"/>
    </row>
    <row r="10" spans="1:16" x14ac:dyDescent="0.25">
      <c r="A10" s="3"/>
      <c r="J10" s="1"/>
      <c r="K10" s="1"/>
      <c r="L10" s="1"/>
      <c r="M10" s="1"/>
      <c r="N10" s="1"/>
      <c r="O10" s="4"/>
    </row>
    <row r="11" spans="1:16" ht="25.5" customHeight="1" x14ac:dyDescent="0.35">
      <c r="A11" s="3"/>
      <c r="C11" s="181" t="s">
        <v>274</v>
      </c>
      <c r="D11" s="181"/>
      <c r="E11" s="181"/>
      <c r="F11" s="5"/>
      <c r="G11" s="180" t="s">
        <v>132</v>
      </c>
      <c r="H11" s="180"/>
      <c r="I11" s="180"/>
      <c r="J11" s="6"/>
      <c r="K11" s="181" t="s">
        <v>41</v>
      </c>
      <c r="L11" s="181"/>
      <c r="M11" s="181"/>
      <c r="N11" s="1"/>
      <c r="O11" s="4"/>
    </row>
    <row r="12" spans="1:16" ht="15" customHeight="1" x14ac:dyDescent="0.25">
      <c r="A12" s="3"/>
      <c r="C12" s="9"/>
      <c r="D12" s="9"/>
      <c r="E12" s="9"/>
      <c r="F12" s="9"/>
      <c r="G12" s="9"/>
      <c r="H12" s="9"/>
      <c r="I12" s="9"/>
      <c r="J12" s="10"/>
      <c r="K12" s="10"/>
      <c r="L12" s="10"/>
      <c r="M12" s="10"/>
      <c r="N12" s="1"/>
      <c r="O12" s="4"/>
    </row>
    <row r="13" spans="1:16" ht="25.5" customHeight="1" x14ac:dyDescent="0.25">
      <c r="A13" s="3"/>
      <c r="F13" s="9"/>
      <c r="G13" s="180" t="s">
        <v>6</v>
      </c>
      <c r="H13" s="180"/>
      <c r="I13" s="180"/>
      <c r="K13" s="180" t="s">
        <v>3</v>
      </c>
      <c r="L13" s="180"/>
      <c r="M13" s="180"/>
      <c r="N13" s="1"/>
      <c r="O13" s="4"/>
    </row>
    <row r="14" spans="1:16" ht="15" customHeight="1" x14ac:dyDescent="0.25">
      <c r="A14" s="3"/>
      <c r="C14" s="9"/>
      <c r="D14" s="9"/>
      <c r="E14" s="9"/>
      <c r="F14" s="9"/>
      <c r="G14" s="17"/>
      <c r="H14" s="9"/>
      <c r="I14" s="9"/>
      <c r="J14" s="10"/>
      <c r="K14" s="10"/>
      <c r="L14" s="10"/>
      <c r="M14" s="10"/>
      <c r="N14" s="1"/>
      <c r="O14" s="4"/>
    </row>
    <row r="15" spans="1:16" ht="25.5" customHeight="1" x14ac:dyDescent="0.25">
      <c r="A15" s="3"/>
      <c r="F15" s="9"/>
      <c r="G15" s="180" t="s">
        <v>61</v>
      </c>
      <c r="H15" s="180"/>
      <c r="I15" s="180"/>
      <c r="J15" s="180"/>
      <c r="K15" s="180"/>
      <c r="L15" s="180"/>
      <c r="M15" s="180"/>
      <c r="N15" s="1"/>
      <c r="O15" s="4"/>
    </row>
    <row r="16" spans="1:16" ht="15" customHeight="1" x14ac:dyDescent="0.25">
      <c r="A16" s="3"/>
      <c r="C16" s="9"/>
      <c r="D16" s="9"/>
      <c r="E16" s="9"/>
      <c r="F16" s="9"/>
      <c r="G16" s="9"/>
      <c r="H16" s="9"/>
      <c r="I16" s="9"/>
      <c r="J16" s="10"/>
      <c r="K16" s="10"/>
      <c r="L16" s="10"/>
      <c r="M16" s="10"/>
      <c r="N16" s="1"/>
      <c r="O16" s="4"/>
    </row>
    <row r="17" spans="1:15" ht="25.5" customHeight="1" x14ac:dyDescent="0.25">
      <c r="A17" s="3"/>
      <c r="C17" s="179"/>
      <c r="D17" s="179"/>
      <c r="E17" s="179"/>
      <c r="F17" s="9"/>
      <c r="G17" s="180" t="s">
        <v>62</v>
      </c>
      <c r="H17" s="180"/>
      <c r="I17" s="180"/>
      <c r="J17" s="180"/>
      <c r="K17" s="180"/>
      <c r="L17" s="180"/>
      <c r="M17" s="180"/>
      <c r="N17" s="1"/>
      <c r="O17" s="4"/>
    </row>
    <row r="18" spans="1:15" ht="15" customHeight="1" x14ac:dyDescent="0.25">
      <c r="A18" s="3"/>
      <c r="C18" s="9"/>
      <c r="D18" s="9"/>
      <c r="E18" s="9"/>
      <c r="F18" s="9"/>
      <c r="G18" s="9"/>
      <c r="H18" s="9"/>
      <c r="I18" s="9"/>
      <c r="J18" s="10"/>
      <c r="K18" s="10"/>
      <c r="L18" s="10"/>
      <c r="M18" s="10"/>
      <c r="N18" s="1"/>
      <c r="O18" s="4"/>
    </row>
    <row r="19" spans="1:15" ht="25.5" customHeight="1" x14ac:dyDescent="0.25">
      <c r="A19" s="3"/>
      <c r="C19" s="9"/>
      <c r="D19" s="9"/>
      <c r="E19" s="9"/>
      <c r="F19" s="9"/>
      <c r="G19" s="182" t="s">
        <v>20</v>
      </c>
      <c r="H19" s="182"/>
      <c r="I19" s="182"/>
      <c r="J19" s="182"/>
      <c r="K19" s="182"/>
      <c r="L19" s="182"/>
      <c r="M19" s="182"/>
      <c r="N19" s="1"/>
      <c r="O19" s="4"/>
    </row>
    <row r="20" spans="1:15" ht="15.75" x14ac:dyDescent="0.25">
      <c r="A20" s="3"/>
      <c r="C20" s="9"/>
      <c r="D20" s="9"/>
      <c r="E20" s="9"/>
      <c r="F20" s="9"/>
      <c r="G20" s="9"/>
      <c r="H20" s="9"/>
      <c r="I20" s="9"/>
      <c r="J20" s="10"/>
      <c r="K20" s="10"/>
      <c r="L20" s="10"/>
      <c r="M20" s="10"/>
      <c r="N20" s="1"/>
      <c r="O20" s="4"/>
    </row>
    <row r="21" spans="1:15" ht="15.75" x14ac:dyDescent="0.25">
      <c r="A21" s="3"/>
      <c r="C21" s="9"/>
      <c r="D21" s="9"/>
      <c r="E21" s="9"/>
      <c r="F21" s="9"/>
      <c r="G21" s="51"/>
      <c r="H21" s="51"/>
      <c r="I21" s="51"/>
      <c r="J21" s="10"/>
      <c r="K21" s="10"/>
      <c r="L21" s="10"/>
      <c r="M21" s="10"/>
      <c r="N21" s="1"/>
      <c r="O21" s="4"/>
    </row>
    <row r="22" spans="1:15" ht="15.75" x14ac:dyDescent="0.25">
      <c r="A22" s="3"/>
      <c r="C22" s="7"/>
      <c r="D22" s="7"/>
      <c r="E22" s="7"/>
      <c r="F22" s="7"/>
      <c r="G22" s="7"/>
      <c r="H22" s="7"/>
      <c r="I22" s="7"/>
      <c r="J22" s="8"/>
      <c r="K22" s="8"/>
      <c r="L22" s="8"/>
      <c r="M22" s="8"/>
      <c r="N22" s="1"/>
      <c r="O22" s="4"/>
    </row>
    <row r="23" spans="1:15" ht="15.75" x14ac:dyDescent="0.25">
      <c r="A23" s="3"/>
      <c r="C23" s="185"/>
      <c r="D23" s="185"/>
      <c r="E23" s="185"/>
      <c r="F23" s="9"/>
      <c r="G23" s="185"/>
      <c r="H23" s="185"/>
      <c r="I23" s="185"/>
      <c r="J23" s="10"/>
      <c r="K23" s="186"/>
      <c r="L23" s="186"/>
      <c r="M23" s="186"/>
      <c r="N23" s="1"/>
      <c r="O23" s="4"/>
    </row>
    <row r="24" spans="1:15" x14ac:dyDescent="0.25">
      <c r="A24" s="3"/>
      <c r="N24" s="1"/>
      <c r="O24" s="4"/>
    </row>
    <row r="25" spans="1:15" x14ac:dyDescent="0.25">
      <c r="A25" s="3"/>
      <c r="E25" s="187" t="s">
        <v>271</v>
      </c>
      <c r="F25" s="187"/>
      <c r="G25" s="187"/>
      <c r="H25" s="187"/>
      <c r="I25" s="187"/>
      <c r="J25" s="187"/>
      <c r="K25" s="187"/>
      <c r="L25" s="187"/>
      <c r="M25" s="187"/>
      <c r="N25" s="188"/>
      <c r="O25" s="4"/>
    </row>
    <row r="26" spans="1:15" ht="15.75" thickBot="1" x14ac:dyDescent="0.3">
      <c r="A26" s="3"/>
      <c r="B26" s="89"/>
      <c r="C26" s="90"/>
      <c r="D26" s="90"/>
      <c r="E26" s="90"/>
      <c r="F26" s="90"/>
      <c r="G26" s="90"/>
      <c r="H26" s="183" t="s">
        <v>276</v>
      </c>
      <c r="I26" s="183"/>
      <c r="J26" s="183"/>
      <c r="K26" s="183"/>
      <c r="L26" s="183"/>
      <c r="M26" s="183"/>
      <c r="N26" s="184"/>
      <c r="O26" s="4"/>
    </row>
    <row r="27" spans="1:15" ht="15.75" thickTop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sheetProtection algorithmName="SHA-512" hashValue="BqGunlolE1wlWw9iQX7TTStUrgGj9SmQRdHxQM33L1Cvld24YjNDIPGiDOCPclybhibNZmc2MpDkvtnp/FNMbg==" saltValue="mBokSUCx4ENgWEyAvkOOqA==" spinCount="100000" sheet="1" objects="1" scenarios="1"/>
  <mergeCells count="19">
    <mergeCell ref="G3:I4"/>
    <mergeCell ref="C5:M5"/>
    <mergeCell ref="K11:M11"/>
    <mergeCell ref="G9:I9"/>
    <mergeCell ref="K9:M9"/>
    <mergeCell ref="C11:E11"/>
    <mergeCell ref="G11:I11"/>
    <mergeCell ref="C17:E17"/>
    <mergeCell ref="G13:I13"/>
    <mergeCell ref="C9:E9"/>
    <mergeCell ref="G19:M19"/>
    <mergeCell ref="H26:N26"/>
    <mergeCell ref="C23:E23"/>
    <mergeCell ref="G23:I23"/>
    <mergeCell ref="K23:M23"/>
    <mergeCell ref="K13:M13"/>
    <mergeCell ref="G15:M15"/>
    <mergeCell ref="G17:M17"/>
    <mergeCell ref="E25:N25"/>
  </mergeCells>
  <hyperlinks>
    <hyperlink ref="G9:I9" location="'3'!E1" display="محاسبه هزینه دادرسی دعاوی مالی"/>
    <hyperlink ref="K9:M9" location="'11'!E2" display="محاسبه تاخیر تادیه ماهانه"/>
    <hyperlink ref="C11:E11" location="'6'!A1" display="هزینه های دادرسی سال 1403"/>
    <hyperlink ref="G13:I13" location="'12'!E26" display="محاسبه بهای برگ دادخواست و اوراق پیوست"/>
    <hyperlink ref="K13:M13" location="'5'!G7" display="محاسبه نیم عشر دولتی"/>
    <hyperlink ref="G17:M17" location="'7'!A1" display="محاسبه حق الوکاله و تمبر مالیاتی وکلا بر اساس قرارداد وکالت"/>
    <hyperlink ref="G15:M15" location="'2'!A1" display="محاسبه حق الوکاله و تمبر مالیاتی وکلا بر اساس خواسته یا محکوم به"/>
    <hyperlink ref="G19:M19" location="'8'!A1" display="محاسبه میزان حق الوکاله موضوع ماشین حساب قضایی سیستم سمپ"/>
    <hyperlink ref="G11:I11" location="'9'!E1" display="جدول هزینه دادرسی دعاوی غیر مالی و ..."/>
    <hyperlink ref="C9:E9" location="'10'!A1" display="آیین نامه تعرفه حق الوکاله ..."/>
    <hyperlink ref="K11:M11" location="'4'!E27" display="محاسبه تاخیر تادیه سالانه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showGridLines="0" showRowColHeaders="0" rightToLeft="1" zoomScaleNormal="100" workbookViewId="0">
      <selection activeCell="N3" sqref="N3"/>
    </sheetView>
  </sheetViews>
  <sheetFormatPr defaultColWidth="9.140625" defaultRowHeight="20.100000000000001" customHeight="1" x14ac:dyDescent="0.25"/>
  <cols>
    <col min="1" max="1" width="4" style="18" customWidth="1"/>
    <col min="2" max="4" width="9.140625" style="18"/>
    <col min="5" max="5" width="9.140625" style="18" customWidth="1"/>
    <col min="6" max="6" width="3.5703125" style="18" customWidth="1"/>
    <col min="7" max="8" width="9.140625" style="18"/>
    <col min="9" max="9" width="15.42578125" style="18" customWidth="1"/>
    <col min="10" max="10" width="4.85546875" style="18" customWidth="1"/>
    <col min="11" max="13" width="9.140625" style="18"/>
    <col min="14" max="14" width="29.7109375" style="18" customWidth="1"/>
    <col min="15" max="16384" width="9.140625" style="18"/>
  </cols>
  <sheetData>
    <row r="1" spans="1:16" ht="29.2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20.100000000000001" customHeight="1" x14ac:dyDescent="0.25">
      <c r="A2" s="91"/>
      <c r="B2" s="92"/>
      <c r="C2" s="92"/>
      <c r="D2" s="92"/>
      <c r="E2" s="92"/>
      <c r="F2" s="92"/>
      <c r="G2" s="92"/>
      <c r="H2" s="92"/>
      <c r="I2" s="92"/>
      <c r="J2" s="93"/>
      <c r="K2" s="93"/>
      <c r="L2" s="93"/>
      <c r="M2" s="93"/>
      <c r="N2" s="93"/>
      <c r="O2" s="94"/>
    </row>
    <row r="3" spans="1:16" ht="27" customHeight="1" x14ac:dyDescent="0.25">
      <c r="A3" s="91"/>
      <c r="B3" s="92"/>
      <c r="C3" s="313" t="s">
        <v>134</v>
      </c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143" t="s">
        <v>35</v>
      </c>
      <c r="O3" s="94"/>
    </row>
    <row r="4" spans="1:16" ht="20.100000000000001" customHeight="1" x14ac:dyDescent="0.25">
      <c r="A4" s="91"/>
      <c r="B4" s="92"/>
      <c r="C4" s="92"/>
      <c r="D4" s="92"/>
      <c r="E4" s="92"/>
      <c r="F4" s="92"/>
      <c r="G4" s="116"/>
      <c r="H4" s="116"/>
      <c r="I4" s="116"/>
      <c r="J4" s="92"/>
      <c r="K4" s="93"/>
      <c r="L4" s="93"/>
      <c r="M4" s="93"/>
      <c r="N4" s="93"/>
      <c r="O4" s="94"/>
    </row>
    <row r="5" spans="1:16" ht="20.100000000000001" customHeight="1" x14ac:dyDescent="0.25">
      <c r="A5" s="91"/>
      <c r="B5" s="301" t="s">
        <v>135</v>
      </c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3"/>
      <c r="O5" s="94"/>
    </row>
    <row r="6" spans="1:16" ht="20.100000000000001" customHeight="1" x14ac:dyDescent="0.25">
      <c r="A6" s="91"/>
      <c r="B6" s="301" t="s">
        <v>136</v>
      </c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3"/>
      <c r="O6" s="94"/>
    </row>
    <row r="7" spans="1:16" ht="20.100000000000001" customHeight="1" x14ac:dyDescent="0.25">
      <c r="A7" s="91"/>
      <c r="B7" s="301" t="s">
        <v>137</v>
      </c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3"/>
      <c r="O7" s="94"/>
    </row>
    <row r="8" spans="1:16" ht="20.100000000000001" customHeight="1" x14ac:dyDescent="0.25">
      <c r="A8" s="91"/>
      <c r="B8" s="300" t="s">
        <v>226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9"/>
      <c r="O8" s="94"/>
    </row>
    <row r="9" spans="1:16" ht="20.100000000000001" customHeight="1" x14ac:dyDescent="0.25">
      <c r="A9" s="91"/>
      <c r="B9" s="297" t="s">
        <v>138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9"/>
      <c r="O9" s="94"/>
    </row>
    <row r="10" spans="1:16" ht="20.100000000000001" customHeight="1" x14ac:dyDescent="0.25">
      <c r="A10" s="91"/>
      <c r="B10" s="297" t="s">
        <v>139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9"/>
      <c r="O10" s="94"/>
    </row>
    <row r="11" spans="1:16" ht="20.100000000000001" customHeight="1" x14ac:dyDescent="0.25">
      <c r="A11" s="91"/>
      <c r="B11" s="297" t="s">
        <v>140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9"/>
      <c r="O11" s="94"/>
    </row>
    <row r="12" spans="1:16" ht="20.100000000000001" customHeight="1" x14ac:dyDescent="0.25">
      <c r="A12" s="91"/>
      <c r="B12" s="300" t="s">
        <v>141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9"/>
      <c r="O12" s="94"/>
    </row>
    <row r="13" spans="1:16" ht="20.100000000000001" customHeight="1" x14ac:dyDescent="0.25">
      <c r="A13" s="91"/>
      <c r="B13" s="300" t="s">
        <v>227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9"/>
      <c r="O13" s="94"/>
    </row>
    <row r="14" spans="1:16" ht="20.100000000000001" customHeight="1" x14ac:dyDescent="0.25">
      <c r="A14" s="91"/>
      <c r="B14" s="300" t="s">
        <v>142</v>
      </c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9"/>
      <c r="O14" s="94"/>
    </row>
    <row r="15" spans="1:16" ht="20.100000000000001" customHeight="1" x14ac:dyDescent="0.25">
      <c r="A15" s="91"/>
      <c r="B15" s="300" t="s">
        <v>143</v>
      </c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9"/>
      <c r="O15" s="94"/>
    </row>
    <row r="16" spans="1:16" ht="20.100000000000001" customHeight="1" x14ac:dyDescent="0.25">
      <c r="A16" s="91"/>
      <c r="B16" s="300" t="s">
        <v>228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9"/>
      <c r="O16" s="94"/>
    </row>
    <row r="17" spans="1:15" ht="20.100000000000001" customHeight="1" x14ac:dyDescent="0.25">
      <c r="A17" s="91"/>
      <c r="B17" s="300" t="s">
        <v>144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9"/>
      <c r="O17" s="94"/>
    </row>
    <row r="18" spans="1:15" ht="20.100000000000001" customHeight="1" x14ac:dyDescent="0.25">
      <c r="A18" s="91"/>
      <c r="B18" s="300" t="s">
        <v>145</v>
      </c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9"/>
      <c r="O18" s="94"/>
    </row>
    <row r="19" spans="1:15" ht="20.100000000000001" customHeight="1" x14ac:dyDescent="0.25">
      <c r="A19" s="91"/>
      <c r="B19" s="300" t="s">
        <v>146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9"/>
      <c r="O19" s="94"/>
    </row>
    <row r="20" spans="1:15" ht="20.100000000000001" customHeight="1" x14ac:dyDescent="0.25">
      <c r="A20" s="91"/>
      <c r="B20" s="300" t="s">
        <v>229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9"/>
      <c r="O20" s="94"/>
    </row>
    <row r="21" spans="1:15" ht="20.100000000000001" customHeight="1" x14ac:dyDescent="0.25">
      <c r="A21" s="91"/>
      <c r="B21" s="300" t="s">
        <v>147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9"/>
      <c r="O21" s="94"/>
    </row>
    <row r="22" spans="1:15" ht="20.100000000000001" customHeight="1" x14ac:dyDescent="0.25">
      <c r="A22" s="91"/>
      <c r="B22" s="300" t="s">
        <v>148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9"/>
      <c r="O22" s="94"/>
    </row>
    <row r="23" spans="1:15" ht="20.100000000000001" customHeight="1" x14ac:dyDescent="0.25">
      <c r="A23" s="91"/>
      <c r="B23" s="297" t="s">
        <v>230</v>
      </c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9"/>
      <c r="O23" s="94"/>
    </row>
    <row r="24" spans="1:15" ht="20.100000000000001" customHeight="1" x14ac:dyDescent="0.25">
      <c r="A24" s="91"/>
      <c r="B24" s="300" t="s">
        <v>149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9"/>
      <c r="O24" s="94"/>
    </row>
    <row r="25" spans="1:15" ht="20.100000000000001" customHeight="1" x14ac:dyDescent="0.25">
      <c r="A25" s="91"/>
      <c r="B25" s="300" t="s">
        <v>150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9"/>
      <c r="O25" s="94"/>
    </row>
    <row r="26" spans="1:15" ht="20.100000000000001" customHeight="1" x14ac:dyDescent="0.25">
      <c r="A26" s="91"/>
      <c r="B26" s="297" t="s">
        <v>231</v>
      </c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9"/>
      <c r="O26" s="94"/>
    </row>
    <row r="27" spans="1:15" ht="20.100000000000001" customHeight="1" x14ac:dyDescent="0.25">
      <c r="A27" s="20"/>
      <c r="B27" s="300" t="s">
        <v>151</v>
      </c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9"/>
      <c r="O27" s="20"/>
    </row>
    <row r="28" spans="1:15" ht="20.100000000000001" customHeight="1" x14ac:dyDescent="0.25">
      <c r="A28" s="20"/>
      <c r="B28" s="300" t="s">
        <v>152</v>
      </c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9"/>
      <c r="O28" s="20"/>
    </row>
    <row r="29" spans="1:15" ht="20.100000000000001" customHeight="1" x14ac:dyDescent="0.25">
      <c r="A29" s="20"/>
      <c r="B29" s="300" t="s">
        <v>232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  <c r="O29" s="20"/>
    </row>
    <row r="30" spans="1:15" ht="20.100000000000001" customHeight="1" x14ac:dyDescent="0.25">
      <c r="A30" s="20"/>
      <c r="B30" s="300" t="s">
        <v>153</v>
      </c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9"/>
      <c r="O30" s="20"/>
    </row>
    <row r="31" spans="1:15" ht="20.100000000000001" customHeight="1" x14ac:dyDescent="0.25">
      <c r="A31" s="20"/>
      <c r="B31" s="297" t="s">
        <v>233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9"/>
      <c r="O31" s="20"/>
    </row>
    <row r="32" spans="1:15" ht="20.100000000000001" customHeight="1" x14ac:dyDescent="0.25">
      <c r="A32" s="20"/>
      <c r="B32" s="300" t="s">
        <v>154</v>
      </c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9"/>
      <c r="O32" s="20"/>
    </row>
    <row r="33" spans="1:15" ht="20.100000000000001" customHeight="1" x14ac:dyDescent="0.25">
      <c r="A33" s="20"/>
      <c r="B33" s="300" t="s">
        <v>234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9"/>
      <c r="O33" s="20"/>
    </row>
    <row r="34" spans="1:15" ht="20.100000000000001" customHeight="1" x14ac:dyDescent="0.25">
      <c r="A34" s="20"/>
      <c r="B34" s="300" t="s">
        <v>155</v>
      </c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9"/>
      <c r="O34" s="20"/>
    </row>
    <row r="35" spans="1:15" ht="20.100000000000001" customHeight="1" x14ac:dyDescent="0.25">
      <c r="B35" s="300" t="s">
        <v>235</v>
      </c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9"/>
    </row>
    <row r="36" spans="1:15" ht="20.100000000000001" customHeight="1" x14ac:dyDescent="0.25">
      <c r="B36" s="300" t="s">
        <v>156</v>
      </c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9"/>
    </row>
    <row r="37" spans="1:15" ht="20.100000000000001" customHeight="1" x14ac:dyDescent="0.25">
      <c r="B37" s="300" t="s">
        <v>157</v>
      </c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9"/>
    </row>
    <row r="38" spans="1:15" ht="20.100000000000001" customHeight="1" x14ac:dyDescent="0.25">
      <c r="B38" s="300" t="s">
        <v>236</v>
      </c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9"/>
    </row>
    <row r="39" spans="1:15" ht="20.100000000000001" customHeight="1" x14ac:dyDescent="0.25">
      <c r="B39" s="300" t="s">
        <v>158</v>
      </c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9"/>
    </row>
    <row r="40" spans="1:15" ht="20.100000000000001" customHeight="1" x14ac:dyDescent="0.25">
      <c r="B40" s="297" t="s">
        <v>223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9"/>
    </row>
    <row r="41" spans="1:15" ht="20.100000000000001" customHeight="1" x14ac:dyDescent="0.25">
      <c r="B41" s="300" t="s">
        <v>159</v>
      </c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9"/>
    </row>
    <row r="42" spans="1:15" ht="20.100000000000001" customHeight="1" x14ac:dyDescent="0.25">
      <c r="B42" s="300" t="s">
        <v>160</v>
      </c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9"/>
    </row>
    <row r="43" spans="1:15" ht="20.100000000000001" customHeight="1" x14ac:dyDescent="0.25">
      <c r="B43" s="300" t="s">
        <v>161</v>
      </c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9"/>
    </row>
    <row r="44" spans="1:15" ht="20.100000000000001" customHeight="1" x14ac:dyDescent="0.25">
      <c r="B44" s="300" t="s">
        <v>162</v>
      </c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9"/>
    </row>
    <row r="45" spans="1:15" ht="20.100000000000001" customHeight="1" x14ac:dyDescent="0.25">
      <c r="B45" s="297" t="s">
        <v>237</v>
      </c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9"/>
    </row>
    <row r="46" spans="1:15" ht="20.100000000000001" customHeight="1" x14ac:dyDescent="0.25">
      <c r="B46" s="300" t="s">
        <v>163</v>
      </c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9"/>
    </row>
    <row r="47" spans="1:15" ht="20.100000000000001" customHeight="1" x14ac:dyDescent="0.25">
      <c r="B47" s="300" t="s">
        <v>164</v>
      </c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9"/>
    </row>
    <row r="48" spans="1:15" ht="20.100000000000001" customHeight="1" x14ac:dyDescent="0.25">
      <c r="B48" s="300" t="s">
        <v>238</v>
      </c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9"/>
    </row>
    <row r="49" spans="2:14" ht="20.100000000000001" customHeight="1" x14ac:dyDescent="0.25">
      <c r="B49" s="300" t="s">
        <v>165</v>
      </c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9"/>
    </row>
    <row r="50" spans="2:14" ht="20.100000000000001" customHeight="1" x14ac:dyDescent="0.25">
      <c r="B50" s="300" t="s">
        <v>239</v>
      </c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9"/>
    </row>
    <row r="51" spans="2:14" ht="20.100000000000001" customHeight="1" x14ac:dyDescent="0.25">
      <c r="B51" s="300" t="s">
        <v>166</v>
      </c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9"/>
    </row>
    <row r="52" spans="2:14" ht="20.100000000000001" customHeight="1" x14ac:dyDescent="0.25">
      <c r="B52" s="300" t="s">
        <v>240</v>
      </c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9"/>
    </row>
    <row r="53" spans="2:14" ht="20.100000000000001" customHeight="1" x14ac:dyDescent="0.25">
      <c r="B53" s="300" t="s">
        <v>167</v>
      </c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9"/>
    </row>
    <row r="54" spans="2:14" ht="20.100000000000001" customHeight="1" x14ac:dyDescent="0.25">
      <c r="B54" s="300" t="s">
        <v>168</v>
      </c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9"/>
    </row>
    <row r="55" spans="2:14" ht="20.100000000000001" customHeight="1" x14ac:dyDescent="0.25">
      <c r="B55" s="300" t="s">
        <v>169</v>
      </c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9"/>
    </row>
    <row r="56" spans="2:14" ht="20.100000000000001" customHeight="1" x14ac:dyDescent="0.25">
      <c r="B56" s="300" t="s">
        <v>170</v>
      </c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9"/>
    </row>
    <row r="57" spans="2:14" ht="20.100000000000001" customHeight="1" x14ac:dyDescent="0.25">
      <c r="B57" s="300" t="s">
        <v>171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9"/>
    </row>
    <row r="58" spans="2:14" ht="20.100000000000001" customHeight="1" x14ac:dyDescent="0.25">
      <c r="B58" s="300" t="s">
        <v>172</v>
      </c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9"/>
    </row>
    <row r="59" spans="2:14" ht="20.100000000000001" customHeight="1" x14ac:dyDescent="0.25">
      <c r="B59" s="300" t="s">
        <v>241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9"/>
    </row>
    <row r="60" spans="2:14" ht="20.100000000000001" customHeight="1" x14ac:dyDescent="0.25">
      <c r="B60" s="300" t="s">
        <v>242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9"/>
    </row>
    <row r="61" spans="2:14" ht="20.100000000000001" customHeight="1" x14ac:dyDescent="0.25">
      <c r="B61" s="300" t="s">
        <v>173</v>
      </c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9"/>
    </row>
    <row r="62" spans="2:14" ht="20.100000000000001" customHeight="1" x14ac:dyDescent="0.25">
      <c r="B62" s="300" t="s">
        <v>174</v>
      </c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9"/>
    </row>
    <row r="63" spans="2:14" ht="20.100000000000001" customHeight="1" x14ac:dyDescent="0.25">
      <c r="B63" s="300" t="s">
        <v>243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9"/>
    </row>
    <row r="64" spans="2:14" ht="20.100000000000001" customHeight="1" x14ac:dyDescent="0.25">
      <c r="B64" s="300" t="s">
        <v>175</v>
      </c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9"/>
    </row>
    <row r="65" spans="2:14" ht="20.100000000000001" customHeight="1" x14ac:dyDescent="0.25">
      <c r="B65" s="304" t="s">
        <v>180</v>
      </c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6"/>
    </row>
    <row r="66" spans="2:14" ht="20.100000000000001" customHeight="1" x14ac:dyDescent="0.25">
      <c r="B66" s="307" t="s">
        <v>181</v>
      </c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6"/>
    </row>
    <row r="67" spans="2:14" ht="20.100000000000001" customHeight="1" x14ac:dyDescent="0.25">
      <c r="B67" s="304" t="s">
        <v>182</v>
      </c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6"/>
    </row>
    <row r="68" spans="2:14" ht="20.100000000000001" customHeight="1" x14ac:dyDescent="0.25">
      <c r="B68" s="300" t="s">
        <v>176</v>
      </c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9"/>
    </row>
    <row r="69" spans="2:14" ht="20.100000000000001" customHeight="1" x14ac:dyDescent="0.25">
      <c r="B69" s="304" t="s">
        <v>178</v>
      </c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6"/>
    </row>
    <row r="70" spans="2:14" ht="20.100000000000001" customHeight="1" x14ac:dyDescent="0.25">
      <c r="B70" s="307" t="s">
        <v>179</v>
      </c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6"/>
    </row>
    <row r="71" spans="2:14" ht="20.100000000000001" customHeight="1" x14ac:dyDescent="0.25">
      <c r="B71" s="300" t="s">
        <v>177</v>
      </c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9"/>
    </row>
    <row r="72" spans="2:14" ht="20.100000000000001" customHeight="1" x14ac:dyDescent="0.25">
      <c r="B72" s="300" t="s">
        <v>183</v>
      </c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9"/>
    </row>
    <row r="73" spans="2:14" ht="20.100000000000001" customHeight="1" x14ac:dyDescent="0.25">
      <c r="B73" s="300" t="s">
        <v>184</v>
      </c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9"/>
    </row>
    <row r="74" spans="2:14" ht="20.100000000000001" customHeight="1" x14ac:dyDescent="0.25">
      <c r="B74" s="300" t="s">
        <v>185</v>
      </c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9"/>
    </row>
    <row r="75" spans="2:14" ht="20.100000000000001" customHeight="1" x14ac:dyDescent="0.25">
      <c r="B75" s="300" t="s">
        <v>244</v>
      </c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9"/>
    </row>
    <row r="76" spans="2:14" ht="20.100000000000001" customHeight="1" x14ac:dyDescent="0.25">
      <c r="B76" s="300" t="s">
        <v>186</v>
      </c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9"/>
    </row>
    <row r="77" spans="2:14" ht="20.100000000000001" customHeight="1" x14ac:dyDescent="0.25">
      <c r="B77" s="300" t="s">
        <v>187</v>
      </c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9"/>
    </row>
    <row r="78" spans="2:14" ht="20.100000000000001" customHeight="1" x14ac:dyDescent="0.25">
      <c r="B78" s="300" t="s">
        <v>245</v>
      </c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9"/>
    </row>
    <row r="79" spans="2:14" ht="20.100000000000001" customHeight="1" x14ac:dyDescent="0.25">
      <c r="B79" s="297" t="s">
        <v>188</v>
      </c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9"/>
    </row>
    <row r="80" spans="2:14" ht="20.100000000000001" customHeight="1" x14ac:dyDescent="0.25">
      <c r="B80" s="297" t="s">
        <v>246</v>
      </c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9"/>
    </row>
    <row r="81" spans="2:14" ht="20.100000000000001" customHeight="1" x14ac:dyDescent="0.25">
      <c r="B81" s="300" t="s">
        <v>189</v>
      </c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9"/>
    </row>
    <row r="82" spans="2:14" ht="20.100000000000001" customHeight="1" x14ac:dyDescent="0.25">
      <c r="B82" s="300" t="s">
        <v>247</v>
      </c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9"/>
    </row>
    <row r="83" spans="2:14" ht="20.100000000000001" customHeight="1" x14ac:dyDescent="0.25">
      <c r="B83" s="300" t="s">
        <v>190</v>
      </c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9"/>
    </row>
    <row r="84" spans="2:14" ht="20.100000000000001" customHeight="1" x14ac:dyDescent="0.25">
      <c r="B84" s="300" t="s">
        <v>248</v>
      </c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9"/>
    </row>
    <row r="85" spans="2:14" ht="20.100000000000001" customHeight="1" x14ac:dyDescent="0.25">
      <c r="B85" s="300" t="s">
        <v>249</v>
      </c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9"/>
    </row>
    <row r="86" spans="2:14" ht="20.100000000000001" customHeight="1" x14ac:dyDescent="0.25">
      <c r="B86" s="300" t="s">
        <v>250</v>
      </c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9"/>
    </row>
    <row r="87" spans="2:14" ht="20.100000000000001" customHeight="1" x14ac:dyDescent="0.25">
      <c r="B87" s="300" t="s">
        <v>251</v>
      </c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9"/>
    </row>
    <row r="88" spans="2:14" ht="20.100000000000001" customHeight="1" x14ac:dyDescent="0.25">
      <c r="B88" s="300" t="s">
        <v>191</v>
      </c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9"/>
    </row>
    <row r="89" spans="2:14" ht="20.100000000000001" customHeight="1" x14ac:dyDescent="0.25">
      <c r="B89" s="300" t="s">
        <v>252</v>
      </c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9"/>
    </row>
    <row r="90" spans="2:14" ht="20.100000000000001" customHeight="1" x14ac:dyDescent="0.25">
      <c r="B90" s="300" t="s">
        <v>192</v>
      </c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9"/>
    </row>
    <row r="91" spans="2:14" ht="20.100000000000001" customHeight="1" x14ac:dyDescent="0.25">
      <c r="B91" s="300" t="s">
        <v>253</v>
      </c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9"/>
    </row>
    <row r="92" spans="2:14" ht="20.100000000000001" customHeight="1" x14ac:dyDescent="0.25">
      <c r="B92" s="300" t="s">
        <v>254</v>
      </c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9"/>
    </row>
    <row r="93" spans="2:14" ht="20.100000000000001" customHeight="1" x14ac:dyDescent="0.25">
      <c r="B93" s="300" t="s">
        <v>193</v>
      </c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9"/>
    </row>
    <row r="94" spans="2:14" ht="20.100000000000001" customHeight="1" x14ac:dyDescent="0.25">
      <c r="B94" s="300" t="s">
        <v>255</v>
      </c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9"/>
    </row>
    <row r="95" spans="2:14" ht="20.100000000000001" customHeight="1" x14ac:dyDescent="0.25">
      <c r="B95" s="300" t="s">
        <v>194</v>
      </c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9"/>
    </row>
    <row r="96" spans="2:14" ht="20.100000000000001" customHeight="1" x14ac:dyDescent="0.25">
      <c r="B96" s="300" t="s">
        <v>195</v>
      </c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9"/>
    </row>
    <row r="97" spans="2:14" ht="20.100000000000001" customHeight="1" x14ac:dyDescent="0.25">
      <c r="B97" s="297" t="s">
        <v>256</v>
      </c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9"/>
    </row>
    <row r="98" spans="2:14" ht="20.100000000000001" customHeight="1" x14ac:dyDescent="0.25">
      <c r="B98" s="300" t="s">
        <v>196</v>
      </c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9"/>
    </row>
    <row r="99" spans="2:14" ht="20.100000000000001" customHeight="1" x14ac:dyDescent="0.25">
      <c r="B99" s="300" t="s">
        <v>197</v>
      </c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9"/>
    </row>
    <row r="100" spans="2:14" ht="20.100000000000001" customHeight="1" x14ac:dyDescent="0.25">
      <c r="B100" s="300" t="s">
        <v>257</v>
      </c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9"/>
    </row>
    <row r="101" spans="2:14" ht="20.100000000000001" customHeight="1" x14ac:dyDescent="0.25">
      <c r="B101" s="300" t="s">
        <v>198</v>
      </c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9"/>
    </row>
    <row r="102" spans="2:14" ht="20.100000000000001" customHeight="1" x14ac:dyDescent="0.25">
      <c r="B102" s="300" t="s">
        <v>258</v>
      </c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9"/>
    </row>
    <row r="103" spans="2:14" ht="20.100000000000001" customHeight="1" x14ac:dyDescent="0.25">
      <c r="B103" s="300" t="s">
        <v>199</v>
      </c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9"/>
    </row>
    <row r="104" spans="2:14" ht="20.100000000000001" customHeight="1" x14ac:dyDescent="0.25">
      <c r="B104" s="300" t="s">
        <v>200</v>
      </c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9"/>
    </row>
    <row r="105" spans="2:14" ht="20.100000000000001" customHeight="1" x14ac:dyDescent="0.25">
      <c r="B105" s="300" t="s">
        <v>201</v>
      </c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9"/>
    </row>
    <row r="106" spans="2:14" ht="20.100000000000001" customHeight="1" x14ac:dyDescent="0.25">
      <c r="B106" s="300" t="s">
        <v>259</v>
      </c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9"/>
    </row>
    <row r="107" spans="2:14" ht="20.100000000000001" customHeight="1" x14ac:dyDescent="0.25">
      <c r="B107" s="300" t="s">
        <v>202</v>
      </c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9"/>
    </row>
    <row r="108" spans="2:14" ht="20.100000000000001" customHeight="1" x14ac:dyDescent="0.25">
      <c r="B108" s="300" t="s">
        <v>260</v>
      </c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9"/>
    </row>
    <row r="109" spans="2:14" ht="20.100000000000001" customHeight="1" x14ac:dyDescent="0.25">
      <c r="B109" s="300" t="s">
        <v>261</v>
      </c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9"/>
    </row>
    <row r="110" spans="2:14" ht="20.100000000000001" customHeight="1" x14ac:dyDescent="0.25">
      <c r="B110" s="300" t="s">
        <v>262</v>
      </c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9"/>
    </row>
    <row r="111" spans="2:14" ht="20.100000000000001" customHeight="1" x14ac:dyDescent="0.25">
      <c r="B111" s="300" t="s">
        <v>203</v>
      </c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9"/>
    </row>
    <row r="112" spans="2:14" ht="20.100000000000001" customHeight="1" x14ac:dyDescent="0.25">
      <c r="B112" s="300" t="s">
        <v>204</v>
      </c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9"/>
    </row>
    <row r="113" spans="2:14" ht="20.100000000000001" customHeight="1" x14ac:dyDescent="0.25">
      <c r="B113" s="300" t="s">
        <v>205</v>
      </c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9"/>
    </row>
    <row r="114" spans="2:14" ht="20.100000000000001" customHeight="1" x14ac:dyDescent="0.25">
      <c r="B114" s="300" t="s">
        <v>263</v>
      </c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9"/>
    </row>
    <row r="115" spans="2:14" ht="20.100000000000001" customHeight="1" x14ac:dyDescent="0.25">
      <c r="B115" s="300" t="s">
        <v>207</v>
      </c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9"/>
    </row>
    <row r="116" spans="2:14" ht="20.100000000000001" customHeight="1" x14ac:dyDescent="0.25">
      <c r="B116" s="300" t="s">
        <v>206</v>
      </c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9"/>
    </row>
    <row r="117" spans="2:14" ht="20.100000000000001" customHeight="1" x14ac:dyDescent="0.25">
      <c r="B117" s="300" t="s">
        <v>208</v>
      </c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9"/>
    </row>
    <row r="118" spans="2:14" ht="20.100000000000001" customHeight="1" x14ac:dyDescent="0.25">
      <c r="B118" s="300" t="s">
        <v>264</v>
      </c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9"/>
    </row>
    <row r="119" spans="2:14" ht="20.100000000000001" customHeight="1" x14ac:dyDescent="0.25">
      <c r="B119" s="300" t="s">
        <v>209</v>
      </c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9"/>
    </row>
    <row r="120" spans="2:14" ht="20.100000000000001" customHeight="1" x14ac:dyDescent="0.25">
      <c r="B120" s="300" t="s">
        <v>210</v>
      </c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9"/>
    </row>
    <row r="121" spans="2:14" ht="20.100000000000001" customHeight="1" x14ac:dyDescent="0.25">
      <c r="B121" s="300" t="s">
        <v>265</v>
      </c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9"/>
    </row>
    <row r="122" spans="2:14" ht="20.100000000000001" customHeight="1" x14ac:dyDescent="0.25">
      <c r="B122" s="300" t="s">
        <v>211</v>
      </c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9"/>
    </row>
    <row r="123" spans="2:14" ht="20.100000000000001" customHeight="1" x14ac:dyDescent="0.25">
      <c r="B123" s="300" t="s">
        <v>212</v>
      </c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9"/>
    </row>
    <row r="124" spans="2:14" ht="20.100000000000001" customHeight="1" x14ac:dyDescent="0.25">
      <c r="B124" s="300" t="s">
        <v>213</v>
      </c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9"/>
    </row>
    <row r="125" spans="2:14" ht="20.100000000000001" customHeight="1" x14ac:dyDescent="0.25">
      <c r="B125" s="300" t="s">
        <v>266</v>
      </c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9"/>
    </row>
    <row r="126" spans="2:14" ht="20.100000000000001" customHeight="1" x14ac:dyDescent="0.25">
      <c r="B126" s="300" t="s">
        <v>214</v>
      </c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9"/>
    </row>
    <row r="127" spans="2:14" ht="20.100000000000001" customHeight="1" x14ac:dyDescent="0.25">
      <c r="B127" s="300" t="s">
        <v>267</v>
      </c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9"/>
    </row>
    <row r="128" spans="2:14" ht="20.100000000000001" customHeight="1" x14ac:dyDescent="0.25">
      <c r="B128" s="300" t="s">
        <v>215</v>
      </c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9"/>
    </row>
    <row r="129" spans="1:15" ht="20.100000000000001" customHeight="1" x14ac:dyDescent="0.25">
      <c r="B129" s="297" t="s">
        <v>216</v>
      </c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9"/>
    </row>
    <row r="130" spans="1:15" ht="20.100000000000001" customHeight="1" x14ac:dyDescent="0.25">
      <c r="B130" s="300" t="s">
        <v>268</v>
      </c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9"/>
    </row>
    <row r="131" spans="1:15" ht="20.100000000000001" customHeight="1" x14ac:dyDescent="0.25">
      <c r="B131" s="300" t="s">
        <v>217</v>
      </c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9"/>
    </row>
    <row r="132" spans="1:15" ht="20.100000000000001" customHeight="1" x14ac:dyDescent="0.25">
      <c r="B132" s="300" t="s">
        <v>218</v>
      </c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9"/>
    </row>
    <row r="133" spans="1:15" ht="20.100000000000001" customHeight="1" x14ac:dyDescent="0.25">
      <c r="B133" s="300" t="s">
        <v>219</v>
      </c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9"/>
    </row>
    <row r="134" spans="1:15" ht="20.100000000000001" customHeight="1" x14ac:dyDescent="0.25">
      <c r="B134" s="300" t="s">
        <v>221</v>
      </c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9"/>
    </row>
    <row r="135" spans="1:15" ht="20.100000000000001" customHeight="1" x14ac:dyDescent="0.25">
      <c r="B135" s="300" t="s">
        <v>222</v>
      </c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9"/>
    </row>
    <row r="136" spans="1:15" ht="20.100000000000001" customHeight="1" x14ac:dyDescent="0.25">
      <c r="B136" s="300" t="s">
        <v>220</v>
      </c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9"/>
    </row>
    <row r="137" spans="1:15" ht="20.100000000000001" customHeight="1" thickBot="1" x14ac:dyDescent="0.3">
      <c r="B137" s="308"/>
      <c r="C137" s="309"/>
      <c r="D137" s="309"/>
      <c r="E137" s="309"/>
      <c r="F137" s="309"/>
      <c r="G137" s="309"/>
      <c r="H137" s="309"/>
      <c r="I137" s="309"/>
      <c r="J137" s="309"/>
      <c r="K137" s="309"/>
      <c r="L137" s="309"/>
      <c r="M137" s="309"/>
      <c r="N137" s="310"/>
    </row>
    <row r="138" spans="1:15" ht="20.100000000000001" customHeight="1" thickTop="1" x14ac:dyDescent="0.25">
      <c r="A138" s="20"/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312"/>
      <c r="N138" s="312"/>
      <c r="O138" s="20"/>
    </row>
    <row r="139" spans="1:15" ht="20.100000000000001" customHeight="1" x14ac:dyDescent="0.25">
      <c r="A139" s="20"/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312"/>
      <c r="N139" s="312"/>
      <c r="O139" s="20"/>
    </row>
    <row r="140" spans="1:15" ht="20.100000000000001" customHeight="1" x14ac:dyDescent="0.25">
      <c r="A140" s="20"/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312"/>
      <c r="N140" s="312"/>
      <c r="O140" s="20"/>
    </row>
    <row r="141" spans="1:15" ht="20.100000000000001" customHeight="1" x14ac:dyDescent="0.25">
      <c r="A141" s="20"/>
      <c r="B141" s="311"/>
      <c r="C141" s="311"/>
      <c r="D141" s="311"/>
      <c r="E141" s="311"/>
      <c r="F141" s="311"/>
      <c r="G141" s="311"/>
      <c r="H141" s="311"/>
      <c r="I141" s="311"/>
      <c r="J141" s="311"/>
      <c r="K141" s="311"/>
      <c r="L141" s="311"/>
      <c r="M141" s="311"/>
      <c r="N141" s="311"/>
      <c r="O141" s="20"/>
    </row>
    <row r="142" spans="1:15" ht="20.100000000000001" customHeight="1" x14ac:dyDescent="0.25">
      <c r="A142" s="20"/>
      <c r="B142" s="311"/>
      <c r="C142" s="311"/>
      <c r="D142" s="311"/>
      <c r="E142" s="311"/>
      <c r="F142" s="311"/>
      <c r="G142" s="311"/>
      <c r="H142" s="311"/>
      <c r="I142" s="311"/>
      <c r="J142" s="311"/>
      <c r="K142" s="311"/>
      <c r="L142" s="311"/>
      <c r="M142" s="311"/>
      <c r="N142" s="311"/>
      <c r="O142" s="20"/>
    </row>
    <row r="143" spans="1:15" ht="20.100000000000001" customHeight="1" x14ac:dyDescent="0.25">
      <c r="A143" s="20"/>
      <c r="B143" s="311"/>
      <c r="C143" s="311"/>
      <c r="D143" s="311"/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20"/>
    </row>
    <row r="144" spans="1:15" ht="20.100000000000001" customHeight="1" x14ac:dyDescent="0.25">
      <c r="A144" s="20"/>
      <c r="B144" s="311"/>
      <c r="C144" s="311"/>
      <c r="D144" s="311"/>
      <c r="E144" s="311"/>
      <c r="F144" s="311"/>
      <c r="G144" s="311"/>
      <c r="H144" s="311"/>
      <c r="I144" s="311"/>
      <c r="J144" s="311"/>
      <c r="K144" s="311"/>
      <c r="L144" s="311"/>
      <c r="M144" s="311"/>
      <c r="N144" s="311"/>
      <c r="O144" s="20"/>
    </row>
    <row r="145" spans="1:15" ht="20.100000000000001" customHeight="1" x14ac:dyDescent="0.25">
      <c r="A145" s="20"/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  <c r="L145" s="311"/>
      <c r="M145" s="311"/>
      <c r="N145" s="311"/>
      <c r="O145" s="20"/>
    </row>
    <row r="146" spans="1:15" ht="20.100000000000001" customHeight="1" x14ac:dyDescent="0.25">
      <c r="A146" s="20"/>
      <c r="B146" s="311"/>
      <c r="C146" s="311"/>
      <c r="D146" s="311"/>
      <c r="E146" s="311"/>
      <c r="F146" s="311"/>
      <c r="G146" s="311"/>
      <c r="H146" s="311"/>
      <c r="I146" s="311"/>
      <c r="J146" s="311"/>
      <c r="K146" s="311"/>
      <c r="L146" s="311"/>
      <c r="M146" s="311"/>
      <c r="N146" s="311"/>
      <c r="O146" s="20"/>
    </row>
    <row r="147" spans="1:15" ht="20.100000000000001" customHeight="1" x14ac:dyDescent="0.25">
      <c r="A147" s="20"/>
      <c r="B147" s="311"/>
      <c r="C147" s="311"/>
      <c r="D147" s="311"/>
      <c r="E147" s="311"/>
      <c r="F147" s="311"/>
      <c r="G147" s="311"/>
      <c r="H147" s="311"/>
      <c r="I147" s="311"/>
      <c r="J147" s="311"/>
      <c r="K147" s="311"/>
      <c r="L147" s="311"/>
      <c r="M147" s="311"/>
      <c r="N147" s="311"/>
      <c r="O147" s="20"/>
    </row>
    <row r="148" spans="1:15" ht="20.100000000000001" customHeight="1" x14ac:dyDescent="0.25">
      <c r="A148" s="20"/>
      <c r="B148" s="311"/>
      <c r="C148" s="311"/>
      <c r="D148" s="311"/>
      <c r="E148" s="311"/>
      <c r="F148" s="311"/>
      <c r="G148" s="311"/>
      <c r="H148" s="311"/>
      <c r="I148" s="311"/>
      <c r="J148" s="311"/>
      <c r="K148" s="311"/>
      <c r="L148" s="311"/>
      <c r="M148" s="311"/>
      <c r="N148" s="311"/>
      <c r="O148" s="20"/>
    </row>
    <row r="149" spans="1:15" ht="20.100000000000001" customHeight="1" x14ac:dyDescent="0.25">
      <c r="A149" s="20"/>
      <c r="B149" s="311"/>
      <c r="C149" s="311"/>
      <c r="D149" s="311"/>
      <c r="E149" s="311"/>
      <c r="F149" s="311"/>
      <c r="G149" s="311"/>
      <c r="H149" s="311"/>
      <c r="I149" s="311"/>
      <c r="J149" s="311"/>
      <c r="K149" s="311"/>
      <c r="L149" s="311"/>
      <c r="M149" s="311"/>
      <c r="N149" s="311"/>
      <c r="O149" s="20"/>
    </row>
    <row r="150" spans="1:15" ht="20.100000000000001" customHeight="1" x14ac:dyDescent="0.25">
      <c r="A150" s="20"/>
      <c r="B150" s="311"/>
      <c r="C150" s="311"/>
      <c r="D150" s="311"/>
      <c r="E150" s="311"/>
      <c r="F150" s="311"/>
      <c r="G150" s="311"/>
      <c r="H150" s="311"/>
      <c r="I150" s="311"/>
      <c r="J150" s="311"/>
      <c r="K150" s="311"/>
      <c r="L150" s="311"/>
      <c r="M150" s="311"/>
      <c r="N150" s="311"/>
      <c r="O150" s="20"/>
    </row>
    <row r="151" spans="1:15" ht="20.100000000000001" customHeight="1" x14ac:dyDescent="0.25">
      <c r="A151" s="20"/>
      <c r="B151" s="311"/>
      <c r="C151" s="311"/>
      <c r="D151" s="311"/>
      <c r="E151" s="311"/>
      <c r="F151" s="311"/>
      <c r="G151" s="311"/>
      <c r="H151" s="311"/>
      <c r="I151" s="311"/>
      <c r="J151" s="311"/>
      <c r="K151" s="311"/>
      <c r="L151" s="311"/>
      <c r="M151" s="311"/>
      <c r="N151" s="311"/>
      <c r="O151" s="20"/>
    </row>
    <row r="152" spans="1:15" ht="20.100000000000001" customHeight="1" x14ac:dyDescent="0.25">
      <c r="A152" s="20"/>
      <c r="B152" s="311"/>
      <c r="C152" s="311"/>
      <c r="D152" s="311"/>
      <c r="E152" s="311"/>
      <c r="F152" s="311"/>
      <c r="G152" s="311"/>
      <c r="H152" s="311"/>
      <c r="I152" s="311"/>
      <c r="J152" s="311"/>
      <c r="K152" s="311"/>
      <c r="L152" s="311"/>
      <c r="M152" s="311"/>
      <c r="N152" s="311"/>
      <c r="O152" s="20"/>
    </row>
    <row r="153" spans="1:15" ht="20.100000000000001" customHeight="1" x14ac:dyDescent="0.25">
      <c r="A153" s="20"/>
      <c r="B153" s="311"/>
      <c r="C153" s="311"/>
      <c r="D153" s="311"/>
      <c r="E153" s="311"/>
      <c r="F153" s="311"/>
      <c r="G153" s="311"/>
      <c r="H153" s="311"/>
      <c r="I153" s="311"/>
      <c r="J153" s="311"/>
      <c r="K153" s="311"/>
      <c r="L153" s="311"/>
      <c r="M153" s="311"/>
      <c r="N153" s="311"/>
      <c r="O153" s="20"/>
    </row>
    <row r="154" spans="1:15" ht="20.100000000000001" customHeight="1" x14ac:dyDescent="0.25">
      <c r="A154" s="20"/>
      <c r="B154" s="311"/>
      <c r="C154" s="311"/>
      <c r="D154" s="311"/>
      <c r="E154" s="311"/>
      <c r="F154" s="311"/>
      <c r="G154" s="311"/>
      <c r="H154" s="311"/>
      <c r="I154" s="311"/>
      <c r="J154" s="311"/>
      <c r="K154" s="311"/>
      <c r="L154" s="311"/>
      <c r="M154" s="311"/>
      <c r="N154" s="311"/>
      <c r="O154" s="20"/>
    </row>
    <row r="155" spans="1:15" ht="20.100000000000001" customHeight="1" x14ac:dyDescent="0.25">
      <c r="A155" s="20"/>
      <c r="B155" s="311"/>
      <c r="C155" s="311"/>
      <c r="D155" s="311"/>
      <c r="E155" s="311"/>
      <c r="F155" s="311"/>
      <c r="G155" s="311"/>
      <c r="H155" s="311"/>
      <c r="I155" s="311"/>
      <c r="J155" s="311"/>
      <c r="K155" s="311"/>
      <c r="L155" s="311"/>
      <c r="M155" s="311"/>
      <c r="N155" s="311"/>
      <c r="O155" s="20"/>
    </row>
    <row r="156" spans="1:15" ht="20.100000000000001" customHeight="1" x14ac:dyDescent="0.25">
      <c r="A156" s="20"/>
      <c r="B156" s="311"/>
      <c r="C156" s="311"/>
      <c r="D156" s="311"/>
      <c r="E156" s="311"/>
      <c r="F156" s="311"/>
      <c r="G156" s="311"/>
      <c r="H156" s="311"/>
      <c r="I156" s="311"/>
      <c r="J156" s="311"/>
      <c r="K156" s="311"/>
      <c r="L156" s="311"/>
      <c r="M156" s="311"/>
      <c r="N156" s="311"/>
      <c r="O156" s="20"/>
    </row>
    <row r="157" spans="1:15" ht="20.100000000000001" customHeight="1" x14ac:dyDescent="0.25">
      <c r="A157" s="20"/>
      <c r="B157" s="311"/>
      <c r="C157" s="311"/>
      <c r="D157" s="311"/>
      <c r="E157" s="311"/>
      <c r="F157" s="311"/>
      <c r="G157" s="311"/>
      <c r="H157" s="311"/>
      <c r="I157" s="311"/>
      <c r="J157" s="311"/>
      <c r="K157" s="311"/>
      <c r="L157" s="311"/>
      <c r="M157" s="311"/>
      <c r="N157" s="311"/>
      <c r="O157" s="20"/>
    </row>
    <row r="158" spans="1:15" ht="20.100000000000001" customHeight="1" x14ac:dyDescent="0.25">
      <c r="A158" s="20"/>
      <c r="B158" s="311"/>
      <c r="C158" s="311"/>
      <c r="D158" s="311"/>
      <c r="E158" s="311"/>
      <c r="F158" s="311"/>
      <c r="G158" s="311"/>
      <c r="H158" s="311"/>
      <c r="I158" s="311"/>
      <c r="J158" s="311"/>
      <c r="K158" s="311"/>
      <c r="L158" s="311"/>
      <c r="M158" s="311"/>
      <c r="N158" s="311"/>
      <c r="O158" s="20"/>
    </row>
    <row r="159" spans="1:15" ht="20.100000000000001" customHeight="1" x14ac:dyDescent="0.25">
      <c r="A159" s="20"/>
      <c r="B159" s="311"/>
      <c r="C159" s="311"/>
      <c r="D159" s="311"/>
      <c r="E159" s="311"/>
      <c r="F159" s="311"/>
      <c r="G159" s="311"/>
      <c r="H159" s="311"/>
      <c r="I159" s="311"/>
      <c r="J159" s="311"/>
      <c r="K159" s="311"/>
      <c r="L159" s="311"/>
      <c r="M159" s="311"/>
      <c r="N159" s="311"/>
      <c r="O159" s="20"/>
    </row>
    <row r="160" spans="1:15" ht="20.100000000000001" customHeight="1" x14ac:dyDescent="0.25">
      <c r="A160" s="20"/>
      <c r="B160" s="311"/>
      <c r="C160" s="311"/>
      <c r="D160" s="311"/>
      <c r="E160" s="311"/>
      <c r="F160" s="311"/>
      <c r="G160" s="311"/>
      <c r="H160" s="311"/>
      <c r="I160" s="311"/>
      <c r="J160" s="311"/>
      <c r="K160" s="311"/>
      <c r="L160" s="311"/>
      <c r="M160" s="311"/>
      <c r="N160" s="311"/>
      <c r="O160" s="20"/>
    </row>
    <row r="161" spans="1:15" ht="20.100000000000001" customHeight="1" x14ac:dyDescent="0.25">
      <c r="A161" s="20"/>
      <c r="B161" s="311"/>
      <c r="C161" s="311"/>
      <c r="D161" s="311"/>
      <c r="E161" s="311"/>
      <c r="F161" s="311"/>
      <c r="G161" s="311"/>
      <c r="H161" s="311"/>
      <c r="I161" s="311"/>
      <c r="J161" s="311"/>
      <c r="K161" s="311"/>
      <c r="L161" s="311"/>
      <c r="M161" s="311"/>
      <c r="N161" s="311"/>
      <c r="O161" s="20"/>
    </row>
    <row r="162" spans="1:15" ht="20.100000000000001" customHeight="1" x14ac:dyDescent="0.25">
      <c r="A162" s="20"/>
      <c r="B162" s="311"/>
      <c r="C162" s="311"/>
      <c r="D162" s="311"/>
      <c r="E162" s="311"/>
      <c r="F162" s="311"/>
      <c r="G162" s="311"/>
      <c r="H162" s="311"/>
      <c r="I162" s="311"/>
      <c r="J162" s="311"/>
      <c r="K162" s="311"/>
      <c r="L162" s="311"/>
      <c r="M162" s="311"/>
      <c r="N162" s="311"/>
      <c r="O162" s="20"/>
    </row>
    <row r="163" spans="1:15" ht="20.100000000000001" customHeight="1" x14ac:dyDescent="0.25">
      <c r="A163" s="20"/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  <c r="L163" s="311"/>
      <c r="M163" s="311"/>
      <c r="N163" s="311"/>
      <c r="O163" s="20"/>
    </row>
    <row r="164" spans="1:15" ht="20.100000000000001" customHeight="1" x14ac:dyDescent="0.25">
      <c r="A164" s="20"/>
      <c r="B164" s="311"/>
      <c r="C164" s="311"/>
      <c r="D164" s="311"/>
      <c r="E164" s="311"/>
      <c r="F164" s="311"/>
      <c r="G164" s="311"/>
      <c r="H164" s="311"/>
      <c r="I164" s="311"/>
      <c r="J164" s="311"/>
      <c r="K164" s="311"/>
      <c r="L164" s="311"/>
      <c r="M164" s="311"/>
      <c r="N164" s="311"/>
      <c r="O164" s="20"/>
    </row>
    <row r="165" spans="1:15" ht="20.100000000000001" customHeight="1" x14ac:dyDescent="0.25">
      <c r="A165" s="20"/>
      <c r="B165" s="311"/>
      <c r="C165" s="311"/>
      <c r="D165" s="311"/>
      <c r="E165" s="311"/>
      <c r="F165" s="311"/>
      <c r="G165" s="311"/>
      <c r="H165" s="311"/>
      <c r="I165" s="311"/>
      <c r="J165" s="311"/>
      <c r="K165" s="311"/>
      <c r="L165" s="311"/>
      <c r="M165" s="311"/>
      <c r="N165" s="311"/>
      <c r="O165" s="20"/>
    </row>
    <row r="166" spans="1:15" ht="20.100000000000001" customHeight="1" x14ac:dyDescent="0.25">
      <c r="A166" s="20"/>
      <c r="B166" s="311"/>
      <c r="C166" s="311"/>
      <c r="D166" s="311"/>
      <c r="E166" s="311"/>
      <c r="F166" s="311"/>
      <c r="G166" s="311"/>
      <c r="H166" s="311"/>
      <c r="I166" s="311"/>
      <c r="J166" s="311"/>
      <c r="K166" s="311"/>
      <c r="L166" s="311"/>
      <c r="M166" s="311"/>
      <c r="N166" s="311"/>
      <c r="O166" s="20"/>
    </row>
    <row r="167" spans="1:15" ht="20.100000000000001" customHeight="1" x14ac:dyDescent="0.25">
      <c r="A167" s="20"/>
      <c r="B167" s="311"/>
      <c r="C167" s="311"/>
      <c r="D167" s="311"/>
      <c r="E167" s="311"/>
      <c r="F167" s="311"/>
      <c r="G167" s="311"/>
      <c r="H167" s="311"/>
      <c r="I167" s="311"/>
      <c r="J167" s="311"/>
      <c r="K167" s="311"/>
      <c r="L167" s="311"/>
      <c r="M167" s="311"/>
      <c r="N167" s="311"/>
      <c r="O167" s="20"/>
    </row>
    <row r="168" spans="1:15" ht="20.100000000000001" customHeight="1" x14ac:dyDescent="0.25">
      <c r="A168" s="20"/>
      <c r="B168" s="311"/>
      <c r="C168" s="311"/>
      <c r="D168" s="311"/>
      <c r="E168" s="311"/>
      <c r="F168" s="311"/>
      <c r="G168" s="311"/>
      <c r="H168" s="311"/>
      <c r="I168" s="311"/>
      <c r="J168" s="311"/>
      <c r="K168" s="311"/>
      <c r="L168" s="311"/>
      <c r="M168" s="311"/>
      <c r="N168" s="311"/>
      <c r="O168" s="20"/>
    </row>
    <row r="169" spans="1:15" ht="20.100000000000001" customHeight="1" x14ac:dyDescent="0.25">
      <c r="A169" s="20"/>
      <c r="B169" s="311"/>
      <c r="C169" s="311"/>
      <c r="D169" s="311"/>
      <c r="E169" s="311"/>
      <c r="F169" s="311"/>
      <c r="G169" s="311"/>
      <c r="H169" s="311"/>
      <c r="I169" s="311"/>
      <c r="J169" s="311"/>
      <c r="K169" s="311"/>
      <c r="L169" s="311"/>
      <c r="M169" s="311"/>
      <c r="N169" s="311"/>
      <c r="O169" s="20"/>
    </row>
    <row r="170" spans="1:15" ht="20.100000000000001" customHeight="1" x14ac:dyDescent="0.25">
      <c r="A170" s="20"/>
      <c r="B170" s="311"/>
      <c r="C170" s="311"/>
      <c r="D170" s="311"/>
      <c r="E170" s="311"/>
      <c r="F170" s="311"/>
      <c r="G170" s="311"/>
      <c r="H170" s="311"/>
      <c r="I170" s="311"/>
      <c r="J170" s="311"/>
      <c r="K170" s="311"/>
      <c r="L170" s="311"/>
      <c r="M170" s="311"/>
      <c r="N170" s="311"/>
      <c r="O170" s="20"/>
    </row>
    <row r="171" spans="1:15" ht="20.100000000000001" customHeight="1" x14ac:dyDescent="0.25">
      <c r="A171" s="20"/>
      <c r="B171" s="311"/>
      <c r="C171" s="311"/>
      <c r="D171" s="311"/>
      <c r="E171" s="311"/>
      <c r="F171" s="311"/>
      <c r="G171" s="311"/>
      <c r="H171" s="311"/>
      <c r="I171" s="311"/>
      <c r="J171" s="311"/>
      <c r="K171" s="311"/>
      <c r="L171" s="311"/>
      <c r="M171" s="311"/>
      <c r="N171" s="311"/>
      <c r="O171" s="20"/>
    </row>
    <row r="172" spans="1:15" ht="20.100000000000001" customHeight="1" x14ac:dyDescent="0.25">
      <c r="A172" s="20"/>
      <c r="B172" s="311"/>
      <c r="C172" s="311"/>
      <c r="D172" s="311"/>
      <c r="E172" s="311"/>
      <c r="F172" s="311"/>
      <c r="G172" s="311"/>
      <c r="H172" s="311"/>
      <c r="I172" s="311"/>
      <c r="J172" s="311"/>
      <c r="K172" s="311"/>
      <c r="L172" s="311"/>
      <c r="M172" s="311"/>
      <c r="N172" s="311"/>
      <c r="O172" s="20"/>
    </row>
    <row r="173" spans="1:15" ht="20.100000000000001" customHeight="1" x14ac:dyDescent="0.25">
      <c r="A173" s="20"/>
      <c r="B173" s="311"/>
      <c r="C173" s="311"/>
      <c r="D173" s="311"/>
      <c r="E173" s="311"/>
      <c r="F173" s="311"/>
      <c r="G173" s="311"/>
      <c r="H173" s="311"/>
      <c r="I173" s="311"/>
      <c r="J173" s="311"/>
      <c r="K173" s="311"/>
      <c r="L173" s="311"/>
      <c r="M173" s="311"/>
      <c r="N173" s="311"/>
      <c r="O173" s="20"/>
    </row>
    <row r="174" spans="1:15" ht="20.100000000000001" customHeight="1" x14ac:dyDescent="0.25">
      <c r="A174" s="20"/>
      <c r="B174" s="311"/>
      <c r="C174" s="311"/>
      <c r="D174" s="311"/>
      <c r="E174" s="311"/>
      <c r="F174" s="311"/>
      <c r="G174" s="311"/>
      <c r="H174" s="311"/>
      <c r="I174" s="311"/>
      <c r="J174" s="311"/>
      <c r="K174" s="311"/>
      <c r="L174" s="311"/>
      <c r="M174" s="311"/>
      <c r="N174" s="311"/>
      <c r="O174" s="20"/>
    </row>
    <row r="175" spans="1:15" ht="20.100000000000001" customHeight="1" x14ac:dyDescent="0.25">
      <c r="A175" s="20"/>
      <c r="B175" s="311"/>
      <c r="C175" s="311"/>
      <c r="D175" s="311"/>
      <c r="E175" s="311"/>
      <c r="F175" s="311"/>
      <c r="G175" s="311"/>
      <c r="H175" s="311"/>
      <c r="I175" s="311"/>
      <c r="J175" s="311"/>
      <c r="K175" s="311"/>
      <c r="L175" s="311"/>
      <c r="M175" s="311"/>
      <c r="N175" s="311"/>
      <c r="O175" s="20"/>
    </row>
    <row r="176" spans="1:15" ht="20.100000000000001" customHeight="1" x14ac:dyDescent="0.25">
      <c r="A176" s="20"/>
      <c r="B176" s="311"/>
      <c r="C176" s="311"/>
      <c r="D176" s="311"/>
      <c r="E176" s="311"/>
      <c r="F176" s="311"/>
      <c r="G176" s="311"/>
      <c r="H176" s="311"/>
      <c r="I176" s="311"/>
      <c r="J176" s="311"/>
      <c r="K176" s="311"/>
      <c r="L176" s="311"/>
      <c r="M176" s="311"/>
      <c r="N176" s="311"/>
      <c r="O176" s="20"/>
    </row>
    <row r="177" spans="1:15" ht="20.100000000000001" customHeight="1" x14ac:dyDescent="0.25">
      <c r="A177" s="20"/>
      <c r="B177" s="311"/>
      <c r="C177" s="311"/>
      <c r="D177" s="311"/>
      <c r="E177" s="311"/>
      <c r="F177" s="311"/>
      <c r="G177" s="311"/>
      <c r="H177" s="311"/>
      <c r="I177" s="311"/>
      <c r="J177" s="311"/>
      <c r="K177" s="311"/>
      <c r="L177" s="311"/>
      <c r="M177" s="311"/>
      <c r="N177" s="311"/>
      <c r="O177" s="20"/>
    </row>
    <row r="178" spans="1:15" ht="20.100000000000001" customHeight="1" x14ac:dyDescent="0.25">
      <c r="A178" s="20"/>
      <c r="B178" s="311"/>
      <c r="C178" s="311"/>
      <c r="D178" s="311"/>
      <c r="E178" s="311"/>
      <c r="F178" s="311"/>
      <c r="G178" s="311"/>
      <c r="H178" s="311"/>
      <c r="I178" s="311"/>
      <c r="J178" s="311"/>
      <c r="K178" s="311"/>
      <c r="L178" s="311"/>
      <c r="M178" s="311"/>
      <c r="N178" s="311"/>
      <c r="O178" s="20"/>
    </row>
    <row r="179" spans="1:15" ht="20.100000000000001" customHeight="1" x14ac:dyDescent="0.25">
      <c r="A179" s="20"/>
      <c r="B179" s="311"/>
      <c r="C179" s="311"/>
      <c r="D179" s="311"/>
      <c r="E179" s="311"/>
      <c r="F179" s="311"/>
      <c r="G179" s="311"/>
      <c r="H179" s="311"/>
      <c r="I179" s="311"/>
      <c r="J179" s="311"/>
      <c r="K179" s="311"/>
      <c r="L179" s="311"/>
      <c r="M179" s="311"/>
      <c r="N179" s="311"/>
      <c r="O179" s="20"/>
    </row>
    <row r="180" spans="1:15" ht="20.100000000000001" customHeight="1" x14ac:dyDescent="0.25">
      <c r="A180" s="20"/>
      <c r="B180" s="311"/>
      <c r="C180" s="311"/>
      <c r="D180" s="311"/>
      <c r="E180" s="311"/>
      <c r="F180" s="311"/>
      <c r="G180" s="311"/>
      <c r="H180" s="311"/>
      <c r="I180" s="311"/>
      <c r="J180" s="311"/>
      <c r="K180" s="311"/>
      <c r="L180" s="311"/>
      <c r="M180" s="311"/>
      <c r="N180" s="311"/>
      <c r="O180" s="20"/>
    </row>
    <row r="181" spans="1:15" ht="20.100000000000001" customHeight="1" x14ac:dyDescent="0.25">
      <c r="A181" s="20"/>
      <c r="B181" s="311"/>
      <c r="C181" s="311"/>
      <c r="D181" s="311"/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20"/>
    </row>
    <row r="182" spans="1:15" ht="20.100000000000001" customHeight="1" x14ac:dyDescent="0.25">
      <c r="A182" s="20"/>
      <c r="B182" s="311"/>
      <c r="C182" s="311"/>
      <c r="D182" s="311"/>
      <c r="E182" s="311"/>
      <c r="F182" s="311"/>
      <c r="G182" s="311"/>
      <c r="H182" s="311"/>
      <c r="I182" s="311"/>
      <c r="J182" s="311"/>
      <c r="K182" s="311"/>
      <c r="L182" s="311"/>
      <c r="M182" s="311"/>
      <c r="N182" s="311"/>
      <c r="O182" s="20"/>
    </row>
    <row r="183" spans="1:15" ht="20.100000000000001" customHeight="1" x14ac:dyDescent="0.25">
      <c r="A183" s="20"/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311"/>
      <c r="O183" s="20"/>
    </row>
    <row r="184" spans="1:15" ht="20.100000000000001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</sheetData>
  <sheetProtection password="EE61" sheet="1" objects="1" scenarios="1"/>
  <mergeCells count="180">
    <mergeCell ref="C3:M3"/>
    <mergeCell ref="B183:N183"/>
    <mergeCell ref="B178:N178"/>
    <mergeCell ref="B179:N179"/>
    <mergeCell ref="B180:N180"/>
    <mergeCell ref="B181:N181"/>
    <mergeCell ref="B182:N182"/>
    <mergeCell ref="B173:N173"/>
    <mergeCell ref="B174:N174"/>
    <mergeCell ref="B175:N175"/>
    <mergeCell ref="B176:N176"/>
    <mergeCell ref="B177:N177"/>
    <mergeCell ref="B168:N168"/>
    <mergeCell ref="B169:N169"/>
    <mergeCell ref="B170:N170"/>
    <mergeCell ref="B171:N171"/>
    <mergeCell ref="B172:N172"/>
    <mergeCell ref="B163:N163"/>
    <mergeCell ref="B164:N164"/>
    <mergeCell ref="B165:N165"/>
    <mergeCell ref="B166:N166"/>
    <mergeCell ref="B167:N167"/>
    <mergeCell ref="B158:N158"/>
    <mergeCell ref="B159:N159"/>
    <mergeCell ref="B160:N160"/>
    <mergeCell ref="B161:N161"/>
    <mergeCell ref="B162:N162"/>
    <mergeCell ref="B153:N153"/>
    <mergeCell ref="B154:N154"/>
    <mergeCell ref="B155:N155"/>
    <mergeCell ref="B156:N156"/>
    <mergeCell ref="B157:N157"/>
    <mergeCell ref="B148:N148"/>
    <mergeCell ref="B149:N149"/>
    <mergeCell ref="B150:N150"/>
    <mergeCell ref="B151:N151"/>
    <mergeCell ref="B152:N152"/>
    <mergeCell ref="B143:N143"/>
    <mergeCell ref="B144:N144"/>
    <mergeCell ref="B145:N145"/>
    <mergeCell ref="B146:N146"/>
    <mergeCell ref="B147:N147"/>
    <mergeCell ref="B138:N138"/>
    <mergeCell ref="B139:N139"/>
    <mergeCell ref="B140:N140"/>
    <mergeCell ref="B141:N141"/>
    <mergeCell ref="B142:N142"/>
    <mergeCell ref="B133:N133"/>
    <mergeCell ref="B134:N134"/>
    <mergeCell ref="B135:N135"/>
    <mergeCell ref="B136:N136"/>
    <mergeCell ref="B137:N137"/>
    <mergeCell ref="B128:N128"/>
    <mergeCell ref="B129:N129"/>
    <mergeCell ref="B130:N130"/>
    <mergeCell ref="B131:N131"/>
    <mergeCell ref="B132:N132"/>
    <mergeCell ref="B123:N123"/>
    <mergeCell ref="B124:N124"/>
    <mergeCell ref="B125:N125"/>
    <mergeCell ref="B126:N126"/>
    <mergeCell ref="B127:N127"/>
    <mergeCell ref="B118:N118"/>
    <mergeCell ref="B119:N119"/>
    <mergeCell ref="B120:N120"/>
    <mergeCell ref="B121:N121"/>
    <mergeCell ref="B122:N122"/>
    <mergeCell ref="B113:N113"/>
    <mergeCell ref="B114:N114"/>
    <mergeCell ref="B115:N115"/>
    <mergeCell ref="B116:N116"/>
    <mergeCell ref="B117:N117"/>
    <mergeCell ref="B108:N108"/>
    <mergeCell ref="B109:N109"/>
    <mergeCell ref="B110:N110"/>
    <mergeCell ref="B111:N111"/>
    <mergeCell ref="B112:N112"/>
    <mergeCell ref="B103:N103"/>
    <mergeCell ref="B104:N104"/>
    <mergeCell ref="B105:N105"/>
    <mergeCell ref="B106:N106"/>
    <mergeCell ref="B107:N107"/>
    <mergeCell ref="B98:N98"/>
    <mergeCell ref="B99:N99"/>
    <mergeCell ref="B100:N100"/>
    <mergeCell ref="B101:N101"/>
    <mergeCell ref="B102:N102"/>
    <mergeCell ref="B93:N93"/>
    <mergeCell ref="B94:N94"/>
    <mergeCell ref="B95:N95"/>
    <mergeCell ref="B96:N96"/>
    <mergeCell ref="B97:N97"/>
    <mergeCell ref="B88:N88"/>
    <mergeCell ref="B89:N89"/>
    <mergeCell ref="B90:N90"/>
    <mergeCell ref="B91:N91"/>
    <mergeCell ref="B92:N92"/>
    <mergeCell ref="B83:N83"/>
    <mergeCell ref="B84:N84"/>
    <mergeCell ref="B85:N85"/>
    <mergeCell ref="B86:N86"/>
    <mergeCell ref="B87:N87"/>
    <mergeCell ref="B78:N78"/>
    <mergeCell ref="B79:N79"/>
    <mergeCell ref="B80:N80"/>
    <mergeCell ref="B81:N81"/>
    <mergeCell ref="B82:N82"/>
    <mergeCell ref="B73:N73"/>
    <mergeCell ref="B74:N74"/>
    <mergeCell ref="B75:N75"/>
    <mergeCell ref="B76:N76"/>
    <mergeCell ref="B77:N77"/>
    <mergeCell ref="B68:N68"/>
    <mergeCell ref="B69:N69"/>
    <mergeCell ref="B70:N70"/>
    <mergeCell ref="B71:N71"/>
    <mergeCell ref="B72:N72"/>
    <mergeCell ref="B63:N63"/>
    <mergeCell ref="B64:N64"/>
    <mergeCell ref="B65:N65"/>
    <mergeCell ref="B66:N66"/>
    <mergeCell ref="B67:N67"/>
    <mergeCell ref="B58:N58"/>
    <mergeCell ref="B59:N59"/>
    <mergeCell ref="B60:N60"/>
    <mergeCell ref="B61:N61"/>
    <mergeCell ref="B62:N62"/>
    <mergeCell ref="B53:N53"/>
    <mergeCell ref="B54:N54"/>
    <mergeCell ref="B55:N55"/>
    <mergeCell ref="B56:N56"/>
    <mergeCell ref="B57:N57"/>
    <mergeCell ref="B48:N48"/>
    <mergeCell ref="B49:N49"/>
    <mergeCell ref="B50:N50"/>
    <mergeCell ref="B51:N51"/>
    <mergeCell ref="B52:N52"/>
    <mergeCell ref="B43:N43"/>
    <mergeCell ref="B44:N44"/>
    <mergeCell ref="B45:N45"/>
    <mergeCell ref="B46:N46"/>
    <mergeCell ref="B47:N47"/>
    <mergeCell ref="B38:N38"/>
    <mergeCell ref="B39:N39"/>
    <mergeCell ref="B40:N40"/>
    <mergeCell ref="B41:N41"/>
    <mergeCell ref="B42:N42"/>
    <mergeCell ref="B33:N33"/>
    <mergeCell ref="B34:N34"/>
    <mergeCell ref="B35:N35"/>
    <mergeCell ref="B36:N36"/>
    <mergeCell ref="B37:N37"/>
    <mergeCell ref="B28:N28"/>
    <mergeCell ref="B29:N29"/>
    <mergeCell ref="B30:N30"/>
    <mergeCell ref="B31:N31"/>
    <mergeCell ref="B32:N32"/>
    <mergeCell ref="B23:N23"/>
    <mergeCell ref="B24:N24"/>
    <mergeCell ref="B25:N25"/>
    <mergeCell ref="B26:N26"/>
    <mergeCell ref="B27:N27"/>
    <mergeCell ref="B5:N5"/>
    <mergeCell ref="B18:N18"/>
    <mergeCell ref="B19:N19"/>
    <mergeCell ref="B20:N20"/>
    <mergeCell ref="B21:N21"/>
    <mergeCell ref="B22:N22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</mergeCells>
  <hyperlinks>
    <hyperlink ref="N3" location="'صفحه اصلی'!A1" display="صفحه اصلی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4"/>
  <sheetViews>
    <sheetView showGridLines="0" showRowColHeaders="0" rightToLeft="1" workbookViewId="0">
      <selection activeCell="D2" sqref="D2:D3"/>
    </sheetView>
  </sheetViews>
  <sheetFormatPr defaultColWidth="9.140625" defaultRowHeight="15" x14ac:dyDescent="0.25"/>
  <cols>
    <col min="1" max="1" width="5.140625" style="18" customWidth="1"/>
    <col min="2" max="2" width="6.28515625" style="18" customWidth="1"/>
    <col min="3" max="3" width="12.140625" style="18" customWidth="1"/>
    <col min="4" max="4" width="15.85546875" style="18" customWidth="1"/>
    <col min="5" max="5" width="35.5703125" style="18" customWidth="1"/>
    <col min="6" max="6" width="13.140625" style="18" customWidth="1"/>
    <col min="7" max="7" width="12.5703125" style="18" customWidth="1"/>
    <col min="8" max="8" width="9.140625" style="18" customWidth="1"/>
    <col min="9" max="10" width="9.140625" style="19" customWidth="1"/>
    <col min="11" max="13" width="9.140625" style="19" hidden="1" customWidth="1"/>
    <col min="14" max="14" width="23.85546875" style="19" hidden="1" customWidth="1"/>
    <col min="15" max="15" width="9.140625" style="19" hidden="1" customWidth="1"/>
    <col min="16" max="16" width="10.7109375" style="19" hidden="1" customWidth="1"/>
    <col min="17" max="19" width="9.140625" style="19" hidden="1" customWidth="1"/>
    <col min="20" max="22" width="9.140625" style="19" customWidth="1"/>
    <col min="23" max="23" width="9.140625" style="19"/>
    <col min="24" max="16384" width="9.140625" style="18"/>
  </cols>
  <sheetData>
    <row r="1" spans="1:24" ht="30" customHeight="1" x14ac:dyDescent="0.25"/>
    <row r="2" spans="1:24" ht="18.75" customHeight="1" x14ac:dyDescent="0.25">
      <c r="D2" s="191" t="s">
        <v>35</v>
      </c>
      <c r="E2" s="216" t="s">
        <v>2</v>
      </c>
      <c r="F2" s="193" t="s">
        <v>36</v>
      </c>
      <c r="L2" s="19">
        <v>1</v>
      </c>
      <c r="M2" s="19">
        <v>1369</v>
      </c>
      <c r="N2" s="19" t="b">
        <f>IF(AND(C9=1,D9=1369),A100*1,IF(AND(C9=2,D9=1369),A100*1,IF(AND(C9=3,D9=1369),A100*1,IF(AND(C9=4,D9=1369),A100*1,IF(AND(C9=5,D9=1369),A100*0.9,IF(AND(C9=6,D9=1369),A100*1,IF(AND(C9=7,D9=1369),A100*1,IF(AND(C9=8,D9=1369),A100*1,IF(AND(C9=9,D9=1369),A100*1,IF(AND(C9=10,D9=1369),A100*1,IF(AND(C9=11,D9=1369),A100*1,IF(AND(C9=12,D9=1369),A100*1,IF(AND(C9=1,D9=1370),A100*1.1)))))))))))))</f>
        <v>0</v>
      </c>
      <c r="O2" s="19" t="b">
        <f>IF(AND(F9=1,G9=1369),A100*1,IF(AND(F9=2,G9=1369),A100*1,IF(AND(F9=3,G9=1369),A100*1,IF(AND(F9=4,G9=1369),A100*1,IF(AND(F9=5,G9=1369),A100*0.9,IF(AND(F9=6,G9=1369),A100*1,IF(AND(F9=7,G9=1369),A100*1,IF(AND(F9=8,G9=1369),A100*1,IF(AND(F9=9,G9=1369),A100*1,IF(AND(F9=10,G9=1369),A100*1,IF(AND(F9=11,G9=1369),A100*1,IF(AND(F9=12,G9=1369),A100*1,IF(AND(F9=1,G9=1370),A100*1.1)))))))))))))</f>
        <v>0</v>
      </c>
      <c r="Q2" s="19">
        <v>1315</v>
      </c>
      <c r="R2" s="19" t="b">
        <f>IF(AND(C23=1315),A100*0.004,IF(AND(C23=1316),A100*0.004,IF(AND(C23=1317),A100*0.004,IF(AND(C23=1318),A100*0.004,IF(AND(C23=1319),A100*0.004,IF(AND(C23=1320),A100*0.008,IF(AND(C23=1321),A100*0.012,IF(AND(C23=1322),A100*0.028,IF(AND(C23=1323),A100*0.028,IF(AND(C23=1324),A100*0.024,IF(AND(C23=1325),A100*0.2,IF(AND(C23=1326),A100*0.24,IF(AND(C23=1327),A100*0.024,IF(AND(C23=1328),A100*0.028,IF(AND(C23=1329),A100*0.02,IF(AND(C23=1330),A100*0.024))))))))))))))))</f>
        <v>0</v>
      </c>
      <c r="S2" s="19" t="b">
        <f>IF(AND(F23=1315),A100*0.004,IF(AND(F23=1316),A100*0.004,IF(AND(F23=1317),A100*0.004,IF(AND(F23=1318),A100*0.004,IF(AND(F23=1319),A100*0.004,IF(AND(F23=1320),A100*0.008,IF(AND(F23=1321),A100*0.012,IF(AND(F23=1322),A100*0.028,IF(AND(F23=1323),A100*0.028,IF(AND(F23=1324),A100*0.024,IF(AND(F23=1325),A100*0.2,IF(AND(F23=1326),A100*0.24,IF(AND(F23=1327),A100*0.024,IF(AND(F23=1328),A100*0.028,IF(AND(F23=1329),A100*0.02,IF(AND(F23=1330),A100*0.024))))))))))))))))</f>
        <v>0</v>
      </c>
    </row>
    <row r="3" spans="1:24" ht="24.75" customHeight="1" x14ac:dyDescent="0.4">
      <c r="B3" s="20"/>
      <c r="C3" s="28"/>
      <c r="D3" s="192"/>
      <c r="E3" s="217"/>
      <c r="F3" s="194"/>
      <c r="G3" s="29"/>
      <c r="H3" s="20"/>
      <c r="L3" s="19">
        <v>2</v>
      </c>
      <c r="M3" s="19">
        <v>1370</v>
      </c>
      <c r="N3" s="19" t="b">
        <f>IF(AND(C9=1,D9=1370),A100*1.1,IF(AND(C9=2,D9=1370),A100*1.1,IF(AND(C9=3,D9=1370),A100*1.1,IF(AND(C9=4,D9=1370),A100*1.1,IF(AND(C9=5,D9=1370),A100*1.2,IF(AND(C9=6,D9=1370),A100*1.2,IF(AND(C9=7,D9=1370),A100*1.2,IF(AND(C9=8,D9=1370),A100*1.2,IF(AND(C9=9,D9=1370),A100*1.2,IF(AND(C9=10,D9=1370),A100*1.2,IF(AND(C9=11,D9=1370),A100*1.3,IF(AND(C9=12,D9=1370),A100*1.4))))))))))))</f>
        <v>0</v>
      </c>
      <c r="O3" s="19" t="b">
        <f>IF(AND(F9=2,G9=1370),A100*1.1,IF(AND(F9=3,G9=1370),A100*1.1,IF(AND(F9=4,G9=1370),A100*1.1,IF(AND(F9=5,G9=1370),A100*1.2,IF(AND(F9=6,G9=1370),A100*1.2,IF(AND(F9=7,G9=1370),A100*1.2,IF(AND(F9=8,G9=1370),A100*1.2,IF(AND(F9=9,G9=1370),A100*1.2,IF(AND(F9=10,G9=1370),A100*1.2,IF(AND(F9=11,G9=1370),A100*1.3,IF(AND(F9=12,G9=1370),A100*1.4)))))))))))</f>
        <v>0</v>
      </c>
      <c r="Q3" s="19">
        <v>1316</v>
      </c>
    </row>
    <row r="4" spans="1:24" x14ac:dyDescent="0.25">
      <c r="B4" s="20"/>
      <c r="C4" s="29"/>
      <c r="D4" s="29"/>
      <c r="E4" s="29"/>
      <c r="F4" s="29"/>
      <c r="G4" s="29"/>
      <c r="H4" s="20"/>
      <c r="L4" s="19">
        <v>3</v>
      </c>
      <c r="M4" s="19">
        <v>1371</v>
      </c>
      <c r="N4" s="176" t="b">
        <f>IF(AND(C9=1,D9=1371),A100*1.4,IF(AND(C9=2,D9=1371),A100*1.4,IF(AND(C9=3,D9=1371),A100*1.4,IF(AND(C9=4,D9=1371),A100*1.4,IF(AND(C9=5,D9=1371),A100*1.5,IF(AND(C9=6,D9=1371),A100*1.5,IF(AND(C9=7,D9=1371),A100*1.5,IF(AND(C9=8,D9=1371),A100*1.5,IF(AND(C9=9,D9=1371),A100*1.5,IF(AND(C9=10,D9=1371),A100*1.5,IF(AND(C9=11,D9=1371),A100*1.6,IF(AND(C9=12,D9=1371),A100*1.6))))))))))))</f>
        <v>0</v>
      </c>
      <c r="O4" s="19" t="b">
        <f>IF(AND(F9=1,G9=1371),A100*1.4,IF(AND(F9=2,G9=1371),A100*1.4,IF(AND(F9=3,G9=1371),A100*1.4,IF(AND(F9=4,G9=1371),A100*1.4,IF(AND(F9=5,G9=1371),A100*1.5,IF(AND(F9=6,G9=1371),A100*1.5,IF(AND(F9=7,G9=1371),A100*1.5,IF(AND(F9=8,G9=1371),A100*1.5,IF(AND(F9=9,G9=1371),A100*1.5,IF(AND(F9=10,G9=1371),A100*1.5,IF(AND(F9=11,G9=1371),A100*1.6,IF(AND(F9=12,G9=1371),A100*1.6))))))))))))</f>
        <v>0</v>
      </c>
      <c r="Q4" s="19">
        <v>1317</v>
      </c>
    </row>
    <row r="5" spans="1:24" x14ac:dyDescent="0.25">
      <c r="B5" s="20"/>
      <c r="C5" s="20"/>
      <c r="D5" s="20"/>
      <c r="E5" s="314" t="s">
        <v>225</v>
      </c>
      <c r="F5" s="20"/>
      <c r="G5" s="20"/>
      <c r="H5" s="20"/>
      <c r="L5" s="19">
        <v>4</v>
      </c>
      <c r="M5" s="19">
        <v>1372</v>
      </c>
      <c r="N5" s="19" t="b">
        <f>IF(AND(C9=1,D9=1372),A100*1.7,IF(AND(C9=2,D9=1372),A100*1.7,IF(AND(C9=3,D9=1372),A100*1.7,IF(AND(C9=4,D9=1372),A100*1.7,IF(AND(C9=5,D9=1372),A100*1.7,IF(AND(C9=6,D9=1372),"1.8",IF(AND(C9=7,D9=1372),A100*1.8,IF(AND(C9=8,D9=1372),A100*1.8,IF(AND(C9=9,D9=1372),A100*1.9,IF(AND(C9=10,D9=1372),A100*1.9,IF(AND(C9=11,D9=1372),A100*2,IF(AND(C9=12,D9=1372),A100*2.1))))))))))))</f>
        <v>0</v>
      </c>
      <c r="O5" s="19" t="b">
        <f>IF(AND(F9=1,G9=1372),A100*1.7,IF(AND(F9=2,G9=1372),A100*1.7,IF(AND(F9=3,G9=1372),A100*1.7,IF(AND(F9=4,G9=1372),A100*1.7,IF(AND(F9=5,G9=1372),A100*1.7,IF(AND(F9=6,G9=1372),"1.8",IF(AND(F9=7,G9=1372),A100*1.8,IF(AND(F9=8,G9=1372),A100*1.8,IF(AND(F9=9,G9=1372),A100*1.9,IF(AND(F9=10,G9=1372),A100*1.9,IF(AND(F9=11,G9=1372),A100*2,IF(AND(F9=12,G9=1372),A100*2.1))))))))))))</f>
        <v>0</v>
      </c>
      <c r="Q5" s="19">
        <v>1318</v>
      </c>
    </row>
    <row r="6" spans="1:24" ht="18.75" customHeight="1" x14ac:dyDescent="0.25">
      <c r="B6" s="20"/>
      <c r="C6" s="20"/>
      <c r="D6" s="20"/>
      <c r="E6" s="315"/>
      <c r="F6" s="20"/>
      <c r="G6" s="20"/>
      <c r="H6" s="20"/>
      <c r="L6" s="19">
        <v>5</v>
      </c>
      <c r="M6" s="19">
        <v>1373</v>
      </c>
      <c r="N6" s="19" t="b">
        <f>IF(AND(C9=1,D9=1373),A100*2.1,IF(AND(C9=2,D9=1373),A100*2.2,IF(AND(C9=3,D9=1373),A100*2.2,IF(AND(C9=4,D9=1373),A100*2.3,IF(AND(C9=5,D9=1373),A100*2.3,IF(AND(C9=6,D9=1373),A100*2.4,IF(AND(C9=7,D9=1373),A100*2.5,IF(AND(C9=8,D9=1373),A100*2.5,IF(AND(C9=9,D9=1373),A100*2.5,IF(AND(C9=10,D9=1373),A100*2.6,IF(AND(C9=11,D9=1373),A100*2.8,IF(AND(C9=12,D9=1373),A100*3))))))))))))</f>
        <v>0</v>
      </c>
      <c r="O6" s="19" t="b">
        <f>IF(AND(F9=1,G9=1373),A100*2.1,IF(AND(F9=2,G9=1373),A100*2.2,IF(AND(F9=3,G9=1373),A100*2.2,IF(AND(F9=4,G9=1373),A100*2.3,IF(AND(F9=5,G9=1373),A100*2.3,IF(AND(F9=6,G9=1373),A100*2.4,IF(AND(F9=7,G9=1373),A100*2.5,IF(AND(F9=8,G9=1373),A100*2.5,IF(AND(F9=9,G9=1373),A100*2.5,IF(AND(F9=10,G9=1373),A100*2.6,IF(AND(F9=11,G9=1373),A100*2.8,IF(AND(F9=12,G9=1373),A100*3))))))))))))</f>
        <v>0</v>
      </c>
      <c r="Q6" s="19">
        <v>1319</v>
      </c>
    </row>
    <row r="7" spans="1:24" ht="19.5" customHeight="1" x14ac:dyDescent="0.25">
      <c r="B7" s="20"/>
      <c r="C7" s="316" t="s">
        <v>1</v>
      </c>
      <c r="D7" s="317"/>
      <c r="E7" s="318">
        <v>0</v>
      </c>
      <c r="F7" s="317" t="s">
        <v>0</v>
      </c>
      <c r="G7" s="320"/>
      <c r="H7" s="20"/>
      <c r="L7" s="19">
        <v>6</v>
      </c>
      <c r="M7" s="19">
        <v>1374</v>
      </c>
      <c r="N7" s="19" t="b">
        <f>IF(AND(C9=1,D9=1374),A100*3.2,IF(AND(C9=2,D9=1374),A100*3.5,IF(AND(C9=3,D9=1374),A100*3.5,IF(AND(C9=4,D9=1374),A100*3.5,IF(AND(C9=5,D9=1374),A100*3.5,IF(AND(C9=6,D9=1374),A100*3.5,IF(AND(C9=7,D9=1374),A100*3.6,IF(AND(C9=8,D9=1374),A100*3.7,IF(AND(C9=9,D9=1374),A100*3.8,IF(AND(C9=10,D9=1374),A100*4,IF(AND(C9=11,D9=1374),A100*4,IF(AND(C9=12,D9=1374),A100*4.1))))))))))))</f>
        <v>0</v>
      </c>
      <c r="O7" s="19" t="b">
        <f>IF(AND(F9=1,G9=1374),A100*3.2,IF(AND(F9=2,G9=1374),A100*3.5,IF(AND(F9=3,G9=1374),A100*3.5,IF(AND(F9=4,G9=1374),A100*3.5,IF(AND(F9=5,G9=1374),A100*3.5,IF(AND(F9=6,G9=1374),A100*3.5,IF(AND(F9=7,G9=1374),A100*3.6,IF(AND(F9=8,G9=1374),A100*3.7,IF(AND(F9=9,G9=1374),A100*3.8,IF(AND(F9=10,G9=1374),A100*4,IF(AND(F9=11,G9=1374),A100*4,IF(AND(F9=12,G9=1374),A100*4.1))))))))))))</f>
        <v>0</v>
      </c>
      <c r="Q7" s="19">
        <v>1320</v>
      </c>
    </row>
    <row r="8" spans="1:24" ht="19.5" customHeight="1" thickBot="1" x14ac:dyDescent="0.3">
      <c r="B8" s="20"/>
      <c r="C8" s="114" t="s">
        <v>4</v>
      </c>
      <c r="D8" s="114" t="s">
        <v>5</v>
      </c>
      <c r="E8" s="319"/>
      <c r="F8" s="114" t="s">
        <v>4</v>
      </c>
      <c r="G8" s="114" t="s">
        <v>5</v>
      </c>
      <c r="H8" s="20"/>
      <c r="L8" s="19">
        <v>7</v>
      </c>
      <c r="M8" s="19">
        <v>1375</v>
      </c>
      <c r="N8" s="19" t="b">
        <f>IF(AND(C9=1,D9=1375),A100*4.4,IF(AND(C9=2,D9=1375),A100*4.4,IF(AND(C9=3,D9=1375),A100*4.4,IF(AND(C9=4,D9=1375),A100*4.4,IF(AND(C9=5,D9=1375),A100*4.4,IF(AND(C9=6,D9=1375),A100*4.4,IF(AND(C9=7,D9=1375),A100*4.5,IF(AND(C9=8,D9=1375),A100*4.6,IF(AND(C9=9,D9=1375),A100*4.6,IF(AND(C9=10,D9=1375),A100*4.7,IF(AND(C9=11,D9=1375),A100*4.8,IF(AND(C9=12,D9=1375),A100*4.8))))))))))))</f>
        <v>0</v>
      </c>
      <c r="O8" s="19" t="b">
        <f>IF(AND(F9=1,G9=1375),A100*4.4,IF(AND(F9=2,G9=1375),A100*4.4,IF(AND(F9=3,G9=1375),A100*4.4,IF(AND(F9=4,G9=1375),A100*4.4,IF(AND(F9=5,G9=1375),A100*4.4,IF(AND(F9=6,G9=1375),A100*4.4,IF(AND(F9=7,G9=1375),A100*4.5,IF(AND(F9=8,G9=1375),A100*4.6,IF(AND(F9=9,G9=1375),A100*4.6,IF(AND(F9=10,G9=1375),A100*4.7,IF(AND(F9=11,G9=1375),A100*4.8,IF(AND(F9=12,G9=1375),A100*4.8))))))))))))</f>
        <v>0</v>
      </c>
      <c r="Q8" s="19">
        <v>1321</v>
      </c>
    </row>
    <row r="9" spans="1:24" ht="29.25" customHeight="1" thickTop="1" thickBot="1" x14ac:dyDescent="0.3">
      <c r="B9" s="20"/>
      <c r="C9" s="118">
        <v>1</v>
      </c>
      <c r="D9" s="148">
        <v>1404</v>
      </c>
      <c r="E9" s="147" t="s">
        <v>32</v>
      </c>
      <c r="F9" s="149">
        <v>1</v>
      </c>
      <c r="G9" s="118">
        <v>1405</v>
      </c>
      <c r="H9" s="20"/>
      <c r="L9" s="19">
        <v>8</v>
      </c>
      <c r="M9" s="19">
        <v>1376</v>
      </c>
      <c r="N9" s="19" t="b">
        <f>IF(AND(C9=1,D9=1376),A100*5,IF(AND(C9=2,D9=1376),A100*5.1,IF(AND(C9=3,D9=1376),A100*5.1,IF(AND(C9=4,D9=1376),A100*5.1,IF(AND(C9=5,D9=1376),A100*5.2,IF(AND(C9=6,D9=1376),A100*5.2,IF(AND(C9=7,D9=1376),A100*5.2,IF(AND(C9=8,D9=1376),A100*5.3,IF(AND(C9=9,D9=1376),A100*5.4,IF(AND(C9=10,D9=1376),A100*5.5,IF(AND(C9=11,D9=1376),A100*5.6,IF(AND(C9=12,D9=1376),A100*5.7))))))))))))</f>
        <v>0</v>
      </c>
      <c r="O9" s="19" t="b">
        <f>IF(AND(F9=1,G9=1376),A100*5,IF(AND(F9=2,G9=1376),A100*5.1,IF(AND(F9=3,G9=1376),A100*5.1,IF(AND(F9=4,G9=1376),A100*5.1,IF(AND(F9=5,G9=1376),A100*5.2,IF(AND(F9=6,G9=1376),A100*5.2,IF(AND(F9=7,G9=1376),A100*5.2,IF(AND(F9=8,G9=1376),A100*5.3,IF(AND(F9=9,G9=1376),A100*5.4,IF(AND(F9=10,G9=1376),A100*5.5,IF(AND(F9=11,G9=1376),A100*5.6,IF(AND(F9=12,G9=1376),A100*5.7))))))))))))</f>
        <v>0</v>
      </c>
      <c r="Q9" s="19">
        <v>1322</v>
      </c>
    </row>
    <row r="10" spans="1:24" ht="15.75" thickTop="1" x14ac:dyDescent="0.25">
      <c r="B10" s="20"/>
      <c r="C10" s="20"/>
      <c r="D10" s="20"/>
      <c r="E10" s="20"/>
      <c r="F10" s="177" t="s">
        <v>270</v>
      </c>
      <c r="G10" s="178" t="s">
        <v>273</v>
      </c>
      <c r="H10" s="20"/>
      <c r="L10" s="19">
        <v>9</v>
      </c>
      <c r="M10" s="19">
        <v>1377</v>
      </c>
      <c r="N10" s="19" t="b">
        <f>IF(AND(C9=1,D9=1377),A100*6,IF(AND(C9=2,D9=1377),A100*6,IF(AND(C9=3,D9=1377),A100*6,IF(AND(C9=4,D9=1377),A100*6,IF(AND(C9=5,D9=1377),A100*6,IF(AND(C9=6,D9=1377),A100*6.1,IF(AND(C9=7,D9=1377),A100*6.2,IF(AND(C9=8,D9=1377),A100*6.3,IF(AND(C9=9,D9=1377),A100*6.5,IF(AND(C9=10,D9=1377),A100*6.5,IF(AND(C9=11,D9=1377),A100*6.7,IF(AND(C9=12,D9=1377),A100*6.8))))))))))))</f>
        <v>0</v>
      </c>
      <c r="O10" s="19" t="b">
        <f>IF(AND(F9=1,G9=1377),A100*6,IF(AND(F9=2,G9=1377),A100*6,IF(AND(F9=3,G9=1377),A100*6,IF(AND(F9=4,G9=1377),A100*6,IF(AND(F9=5,G9=1377),A100*6,IF(AND(F9=6,G9=1377),A100*6.1,IF(AND(F9=7,G9=1377),A100*6.2,IF(AND(F9=8,G9=1377),A100*6.3,IF(AND(F9=9,G9=1377),A100*6.5,IF(AND(F9=10,G9=1377),A100*6.5,IF(AND(F9=11,G9=1377),A100*6.7,IF(AND(F9=12,G9=1377),A100*6.8))))))))))))</f>
        <v>0</v>
      </c>
      <c r="Q10" s="19">
        <v>1323</v>
      </c>
    </row>
    <row r="11" spans="1:24" ht="18.75" x14ac:dyDescent="0.3">
      <c r="B11" s="20"/>
      <c r="C11" s="20"/>
      <c r="D11" s="20"/>
      <c r="E11" s="22" t="s">
        <v>38</v>
      </c>
      <c r="F11" s="20"/>
      <c r="G11" s="20"/>
      <c r="H11" s="20"/>
      <c r="J11" s="115"/>
      <c r="L11" s="19">
        <v>10</v>
      </c>
      <c r="M11" s="19">
        <v>1378</v>
      </c>
      <c r="N11" s="19" t="b">
        <f>IF(AND(C9=1,D9=1378),A100*7.2,IF(AND(C9=2,D9=1378),A100*7.3,IF(AND(C9=3,D9=1378),A100*7.3,IF(AND(C9=4,D9=1378),A100*7.3,IF(AND(C9=5,D9=1378),A100*7.3,IF(AND(C9=6,D9=1378),A100*7.4,IF(AND(C9=7,D9=1378),A100*7.5,IF(AND(C9=8,D9=1378),A100*7.5,IF(AND(C9=9,D9=1378),A100*7.7,IF(AND(C9=10,D9=1378),A100*7.8,IF(AND(C9=11,D9=1378),A100*7.9,IF(AND(C9=12,D9=1378),A100*8.1))))))))))))</f>
        <v>0</v>
      </c>
      <c r="O11" s="19" t="b">
        <f>IF(AND(F9=1,G9=1378),A100*7.2,IF(AND(F9=2,G9=1378),A100*7.3,IF(AND(F9=3,G9=1378),A100*7.3,IF(AND(F9=4,G9=1378),A100*7.3,IF(AND(F9=5,G9=1378),A100*7.3,IF(AND(F9=6,G9=1378),A100*7.4,IF(AND(F9=7,G9=1378),A100*7.5,IF(AND(F9=8,G9=1378),A100*7.5,IF(AND(F9=9,G9=1378),A100*7.7,IF(AND(F9=10,G9=1378),A100*7.8,IF(AND(F9=11,G9=1378),A100*7.9,IF(AND(F9=12,G9=1378),A100*8.1))))))))))))</f>
        <v>0</v>
      </c>
      <c r="Q11" s="19">
        <v>1324</v>
      </c>
    </row>
    <row r="12" spans="1:24" ht="18.75" x14ac:dyDescent="0.25">
      <c r="B12" s="20"/>
      <c r="C12" s="20"/>
      <c r="D12" s="20"/>
      <c r="E12" s="23">
        <f>IF(AND(O40&gt;0),O40/N40*E7-E7,IF(AND(O40=0),"شاخص اعلام نشده است"))</f>
        <v>0</v>
      </c>
      <c r="F12" s="20"/>
      <c r="G12" s="20"/>
      <c r="H12" s="20"/>
      <c r="L12" s="19">
        <v>11</v>
      </c>
      <c r="M12" s="19">
        <v>1379</v>
      </c>
      <c r="N12" s="19" t="b">
        <f>IF(AND(C9=1,D9=1379),A100*8.1,IF(AND(C9=2,D9=1379),A100*8.1,IF(AND(C9=3,D9=1379),A100*8.3,IF(AND(C9=4,D9=1379),A100*8.2,IF(AND(C9=5,D9=1379),A100*8.3,IF(AND(C9=6,D9=1379),A100*8.3,IF(AND(C9=7,D9=1379),A100*8.4,IF(AND(C9=8,D9=1379),A100*8.5,IF(AND(C9=9,D9=1379),A100*8.7,IF(AND(C9=10,D9=1379),A100*8.7,IF(AND(C9=11,D9=1379),A100*8.8,IF(AND(C9=12,D9=1379),A100*9))))))))))))</f>
        <v>0</v>
      </c>
      <c r="O12" s="19" t="b">
        <f>IF(AND(F9=1,G9=1379),A100*8.1,IF(AND(F9=2,G9=1379),A100*8.1,IF(AND(F9=3,G9=1379),A100*8.3,IF(AND(F9=4,G9=1379),A100*8.2,IF(AND(F9=5,G9=1379),A100*8.3,IF(AND(F9=6,G9=1379),A100*8.3,IF(AND(F9=7,G9=1379),A100*8.4,IF(AND(F9=8,G9=1379),A100*8.5,IF(AND(C9=9,G9=1379),A100*8.7,IF(AND(F9=10,G9=1379),A100*8.7,IF(AND(F9=11,G9=1379),A100*8.8,IF(AND(F9=12,G9=1379),A100*9))))))))))))</f>
        <v>0</v>
      </c>
      <c r="Q12" s="19">
        <v>1325</v>
      </c>
    </row>
    <row r="13" spans="1:24" ht="18.75" x14ac:dyDescent="0.3">
      <c r="B13" s="20"/>
      <c r="C13" s="20"/>
      <c r="D13" s="20"/>
      <c r="E13" s="24" t="s">
        <v>39</v>
      </c>
      <c r="F13" s="20"/>
      <c r="G13" s="20"/>
      <c r="H13" s="20"/>
      <c r="I13" s="115"/>
      <c r="L13" s="19">
        <v>12</v>
      </c>
      <c r="M13" s="19">
        <v>1380</v>
      </c>
      <c r="N13" s="19" t="b">
        <f>IF(AND(C9=1,D9=1380),A100*9.1,IF(AND(C9=2,D9=1380),A100*9.1,IF(AND(C9=3,D9=1380),A100*9.2,IF(AND(C9=4,D9=1380),A100*9.2,IF(AND(C9=5,D9=1380),A100*9.3,IF(AND(C9=6,D9=1380),A100*9.3,IF(AND(C9=7,D9=1380),A100*9.4,IF(AND(C9=8,D9=1380),A100*9.4,IF(AND(C9=9,D9=1380),A100*9.6,IF(AND(C9=10,D9=1380),A100*9.7,IF(AND(C9=11,D9=1380),A100*9.8,IF(AND(C9=12,D9=1380),A100*10))))))))))))</f>
        <v>0</v>
      </c>
      <c r="O13" s="19" t="b">
        <f>IF(AND(F9=1,G9=1380),A100*9.1,IF(AND(F9=2,G9=1380),A100*9.1,IF(AND(F9=3,G9=1380),A100*9.2,IF(AND(F9=4,G9=1380),A100*9.2,IF(AND(F9=5,G9=1380),A100*9.3,IF(AND(F9=6,G9=1380),A100*9.3,IF(AND(F9=7,G9=1380),A100*9.4,IF(AND(F9=8,G9=1380),A100*9.4,IF(AND(F9=9,G9=1380),A100*9.6,IF(AND(F9=10,G9=1380),A100*9.7,IF(AND(F9=11,G9=1380),A100*9.8,IF(AND(F9=12,G9=1380),A100*10))))))))))))</f>
        <v>0</v>
      </c>
      <c r="Q13" s="19">
        <v>1326</v>
      </c>
    </row>
    <row r="14" spans="1:24" ht="18.75" x14ac:dyDescent="0.25">
      <c r="B14" s="20"/>
      <c r="C14" s="20"/>
      <c r="D14" s="20"/>
      <c r="E14" s="23">
        <f>IF(AND(O40&gt;0),O40/N40*E7,IF(AND(O40=0),"شاخص اعلام نشده است"))</f>
        <v>0</v>
      </c>
      <c r="F14" s="20"/>
      <c r="G14" s="20"/>
      <c r="H14" s="20"/>
      <c r="M14" s="19">
        <v>1381</v>
      </c>
      <c r="N14" s="19" t="b">
        <f>IF(AND(C9=1,D9=1381),A100*10.2,IF(AND(C9=2,D9=1381),A100*10.4,IF(AND(C9=3,D9=1381),A100*10.6,IF(AND(C9=4,D9=1381),A100*10.6,IF(AND(C9=5,D9=1381),A100*10.6,IF(AND(C9=6,D9=1381),A100*10.8,IF(AND(C9=7,D9=1381),A100*10.8,IF(AND(C9=8,D9=1381),A100*11,IF(AND(C9=9,D9=1381),A100*11.2,IF(AND(C9=10,D9=1381),A100*11.4,IF(AND(C9=11,D9=1381),A100*11.6,IF(AND(C9=12,D9=1381),A100*11.8))))))))))))</f>
        <v>0</v>
      </c>
      <c r="O14" s="19" t="b">
        <f>IF(AND(F9=1,G9=1381),A100*10.2,IF(AND(F9=2,G9=1381),A100*10.4,IF(AND(F9=3,G9=1381),A100*10.6,IF(AND(F9=4,G9=1381),A100*10.6,IF(AND(F9=5,G9=1381),A100*10.6,IF(AND(F9=6,G9=1381),A100*10.8,IF(AND(F9=7,G9=1381),A100*10.8,IF(AND(F9=8,G9=1381),A100*11,IF(AND(F9=9,G9=1381),A100*11.2,IF(AND(F9=10,G9=1381),A100*11.4,IF(AND(F9=11,G9=1381),A100*11.6,IF(AND(F9=12,G9=1381),A100*11.8))))))))))))</f>
        <v>0</v>
      </c>
      <c r="Q14" s="19">
        <v>1327</v>
      </c>
    </row>
    <row r="15" spans="1:24" x14ac:dyDescent="0.25">
      <c r="H15" s="20"/>
      <c r="M15" s="19">
        <v>1382</v>
      </c>
      <c r="N15" s="19" t="b">
        <f>IF(AND(C9=1,D9=1382),A100*12,IF(AND(C9=2,D9=1382),A100*12.1,IF(AND(C9=3,D9=1382),A100*12.3,IF(AND(C9=4,D9=1382),A100*12.4,IF(AND(C9=5,D9=1382),A100*12.4,IF(AND(C9=6,D9=1382),A100*12.4,IF(AND(C9=7,D9=1382),A100*12.5,IF(AND(C9=8,D9=1382),A100*12.7,IF(AND(C9=9,D9=1382),A100*12.9,IF(AND(C9=10,D9=1382),A100*13.1,IF(AND(C9=11,D9=1382),A100*13.2,IF(AND(C9=12,D9=1382),A100*13.4))))))))))))</f>
        <v>0</v>
      </c>
      <c r="O15" s="19" t="b">
        <f>IF(AND(F9=1,G9=1382),A100*12,IF(AND(F9=2,G9=1382),A100*12.1,IF(AND(F9=3,G9=1382),A100*12.3,IF(AND(F9=4,G9=1382),A100*12.4,IF(AND(F9=5,G9=1382),A100*12.4,IF(AND(F9=6,G9=1382),A100*12.4,IF(AND(F9=7,G9=1382),A100*12.5,IF(AND(F9=8,G9=1382),A100*12.7,IF(AND(F9=9,G9=1382),A100*12.9,IF(AND(F9=10,G9=1382),A100*13.1,IF(AND(F9=11,G9=1382),A100*13.2,IF(AND(F9=12,G9=1382),A100*13.4))))))))))))</f>
        <v>0</v>
      </c>
      <c r="Q15" s="19">
        <v>1328</v>
      </c>
    </row>
    <row r="16" spans="1:24" ht="22.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5"/>
      <c r="J16" s="25"/>
      <c r="K16" s="25"/>
      <c r="L16" s="25"/>
      <c r="M16" s="25">
        <v>1383</v>
      </c>
      <c r="N16" s="25" t="b">
        <f>IF(AND(C9=1,D9=1383),A100*13.7,IF(AND(C9=2,D9=1383),A100*13.9,IF(AND(C9=3,D9=1383),A100*14.1,IF(AND(C9=4,D9=1383),A100*14.3,IF(AND(C9=5,D9=1383),A100*14.4,IF(AND(C9=6,D9=1383),A100*14.4,IF(AND(C9=7,D9=1383),A100*14.6,IF(AND(C9=8,D9=1383),A100*14.7,IF(AND(C9=9,D9=1383),A100*14.8,IF(AND(C9=10,D9=1383),A100*15,IF(AND(C9=11,D9=1383),A100*15.2,IF(AND(C9=12,D9=1383),A100*15.5))))))))))))</f>
        <v>0</v>
      </c>
      <c r="O16" s="25" t="b">
        <f>IF(AND(F9=1,G9=1383),A100*13.7,IF(AND(F9=2,G9=1383),A100*13.9,IF(AND(F9=3,G9=1383),A100*14.1,IF(AND(F9=4,G9=1383),A100*14.3,IF(AND(F9=5,G9=1383),A100*14.4,IF(AND(F9=6,G9=1383),A100*14.4,IF(AND(F9=7,G9=1383),A100*14.6,IF(AND(F9=8,G9=1383),A100*14.7,IF(AND(F9=9,G9=1383),A100*14.8,IF(AND(F9=10,G9=1383),A100*15,IF(AND(F9=11,G9=1383),A100*15.2,IF(AND(F9=12,G9=1383),A100*15.5))))))))))))</f>
        <v>0</v>
      </c>
      <c r="P16" s="25"/>
      <c r="Q16" s="25">
        <v>1329</v>
      </c>
      <c r="R16" s="25"/>
      <c r="S16" s="25"/>
      <c r="T16" s="25"/>
      <c r="U16" s="25"/>
      <c r="V16" s="25"/>
      <c r="W16" s="25"/>
      <c r="X16" s="20"/>
    </row>
    <row r="17" spans="1:19" hidden="1" x14ac:dyDescent="0.25">
      <c r="A17" s="20"/>
      <c r="B17" s="20"/>
      <c r="C17" s="20"/>
      <c r="D17" s="20"/>
      <c r="E17" s="20"/>
      <c r="F17" s="20"/>
      <c r="G17" s="20"/>
      <c r="H17" s="20"/>
      <c r="I17" s="25"/>
      <c r="M17" s="19">
        <v>1384</v>
      </c>
      <c r="N17" s="19" t="b">
        <f>IF(AND(C9=1,D9=1384),A100*16,IF(AND(C9=2,D9=1384),A100*15.9,IF(AND(C9=3,D9=1384),A100*15.8,IF(AND(C9=4,D9=1384),A100*15.7,IF(AND(C9=5,D9=1384),A100*15.7,IF(AND(C9=6,D9=1384),A100*15.8,IF(AND(C9=7,D9=1384),A100*15.9,IF(AND(C9=8,D9=1384),A100*16,IF(AND(C9=9,D9=1384),A100*16.2,IF(AND(C9=10,D9=1384),A100*16.3,IF(AND(C9=11,D9=1384),A100*16.5,IF(AND(C9=12,D9=1384),A100*16.7))))))))))))</f>
        <v>0</v>
      </c>
      <c r="O17" s="19" t="b">
        <f>IF(AND(F9=1,G9=1384),A100*16,IF(AND(F9=2,G9=1384),A100*15.9,IF(AND(F9=3,G9=1384),A100*15.8,IF(AND(F9=4,G9=1384),A100*15.7,IF(AND(F9=5,G9=1384),A100*15.7,IF(AND(F9=6,G9=1384),A100*15.8,IF(AND(F9=7,G9=1384),A100*15.9,IF(AND(F9=8,G9=1384),A100*16,IF(AND(F9=9,G9=1384),A100*16.2,IF(AND(F9=10,G9=1384),A100*16.3,IF(AND(F9=11,G9=1384),A100*16.5,IF(AND(F9=12,G9=1384),A100*16.7))))))))))))</f>
        <v>0</v>
      </c>
      <c r="Q17" s="19">
        <v>1330</v>
      </c>
    </row>
    <row r="18" spans="1:19" ht="26.25" hidden="1" x14ac:dyDescent="0.4">
      <c r="B18" s="20"/>
      <c r="C18" s="28"/>
      <c r="D18" s="125"/>
      <c r="E18" s="126"/>
      <c r="F18" s="50"/>
      <c r="G18" s="28"/>
      <c r="H18" s="20"/>
      <c r="M18" s="19">
        <v>1385</v>
      </c>
      <c r="N18" s="19" t="b">
        <f>IF(AND(C9=1,D9=1385),A100*16.9,IF(AND(C9=2,D9=1385),A100*17,IF(AND(C9=3,D9=1385),A100*17.3,IF(AND(C9=4,D9=1385),A100*17.3,IF(AND(C9=5,D9=1385),A100*17.4,IF(AND(C9=6,D9=1385),A100*17.7,IF(AND(C9=7,D9=1385),A100*17.9,IF(AND(C9=8,D9=1385),A100*18.1,IF(AND(C9=9,D9=1385),A100*18.5,IF(AND(C9=10,D9=1385),A100*18.9,IF(AND(C9=11,D9=1385),A100*19.2,IF(AND(C9=12,D9=1385),A100*19.4))))))))))))</f>
        <v>0</v>
      </c>
      <c r="O18" s="19" t="b">
        <f>IF(AND(F9=1,G9=1385),A100*16.9,IF(AND(F9=2,G9=1385),A100*17,IF(AND(F9=3,G9=1385),A100*17.3,IF(AND(F9=4,G9=1385),A100*17.3,IF(AND(F9=5,G9=1385),A100*17.4,IF(AND(F9=6,G9=1385),A100*17.7,IF(AND(C9=7,G9=1385),A100*17.9,IF(AND(F9=8,G9=1385),A100*18.1,IF(AND(F9=9,G9=1385),A100*18.5,IF(AND(F9=10,G9=1385),A100*18.9,IF(AND(F9=11,G9=1385),A100*19.2,IF(AND(F9=12,G9=1385),A100*19.4))))))))))))</f>
        <v>0</v>
      </c>
      <c r="Q18" s="19">
        <v>1331</v>
      </c>
      <c r="R18" s="19" t="b">
        <f>IF(AND(C23=1331),A100*0.024,IF(AND(C23=1332),A100*0.028,IF(AND(C23=1333),A100*0.032,IF(AND(C23=1334),A100*0.032,IF(AND(C23=1335),A100*0.036,IF(AND(C23=1336),A100*0.036,IF(AND(C23=1337),A100*0.036,IF(AND(C23=1338),A100*0.044,IF(AND(C23=1339),A100*0.048,IF(AND(C23=1340),A100*0.048))))))))))</f>
        <v>0</v>
      </c>
      <c r="S18" s="19" t="b">
        <f>IF(AND(F23=1331),A100*0.024,IF(AND(F23=1332),A100*0.028,IF(AND(F23=1333),A100*0.032,IF(AND(F23=1334),A100*0.032,IF(AND(F23=1335),A100*0.036,IF(AND(F23=1336),A100*0.036,IF(AND(F23=1337),A100*0.036,IF(AND(F23=1338),A100*0.044,IF(AND(F23=1339),A100*0.048,IF(AND(F23=1340),A100*0.048))))))))))</f>
        <v>0</v>
      </c>
    </row>
    <row r="19" spans="1:19" ht="26.25" hidden="1" x14ac:dyDescent="0.4">
      <c r="B19" s="20"/>
      <c r="C19" s="28"/>
      <c r="D19" s="125"/>
      <c r="E19" s="126"/>
      <c r="F19" s="50"/>
      <c r="G19" s="28"/>
      <c r="H19" s="20"/>
      <c r="M19" s="19">
        <v>1386</v>
      </c>
      <c r="N19" s="19" t="b">
        <f>IF(AND(C9=1,D9=1386),A100*19.7,IF(AND(C9=2,D9=1386),A100*19.8,IF(AND(C9=3,D9=1386),A100*20.1,IF(AND(C9=4,D9=1386),A100*20.2,IF(AND(C9=5,D9=1386),A100*20.4,IF(AND(C9=6,D9=1386),A100*20.9,IF(AND(C9=7,D9=1386),A100*21.2,IF(AND(C9=8,D9=1386),A100*21.6,IF(AND(C9=9,D9=1386),A100*22.2,IF(AND(C9=10,D9=1386),A100*22.5,IF(AND(C9=11,D9=1386),A100*23,IF(AND(C9=12,D9=1386),A100*23.7))))))))))))</f>
        <v>0</v>
      </c>
      <c r="O19" s="19" t="b">
        <f>IF(AND(F9=1,G9=1386),A100*19.7,IF(AND(F9=2,G9=1386),A100*19.8,IF(AND(F9=3,G9=1386),A100*20.1,IF(AND(F9=4,G9=1386),A100*20.2,IF(AND(F9=5,G9=1386),A100*20.4,IF(AND(F9=6,G9=1386),A100*20.9,IF(AND(F9=7,G9=1386),A100*21.2,IF(AND(F9=8,G9=1386),A100*21.6,IF(AND(F9=9,G9=1386),A100*22.2,IF(AND(F9=10,G9=1386),A100*22.5,IF(AND(F9=11,G9=1386),A100*23,IF(AND(F9=12,G9=1386),A100*23.7))))))))))))</f>
        <v>0</v>
      </c>
      <c r="Q19" s="19">
        <v>1332</v>
      </c>
    </row>
    <row r="20" spans="1:19" hidden="1" x14ac:dyDescent="0.25">
      <c r="B20" s="20"/>
      <c r="C20" s="20"/>
      <c r="D20" s="20"/>
      <c r="E20" s="20"/>
      <c r="F20" s="20"/>
      <c r="G20" s="20"/>
      <c r="H20" s="20"/>
      <c r="M20" s="19">
        <v>1387</v>
      </c>
      <c r="N20" s="19" t="b">
        <f>IF(AND(C9=1,D9=1387),A100*24.4,IF(AND(C9=2,D9=1387),A100*24.8,IF(AND(C9=3,D9=1387),A100*25.4,IF(AND(C9=4,D9=1387),A100*25.5,IF(AND(C9=5,D9=1387),A100*26,IF(AND(C9=6,D9=1387),A100*27,IF(AND(C9=7,D9=1387),A100*27.5,IF(AND(C9=8,D9=1387),A100*27.7,IF(AND(C9=9,D9=1387),A100*28,IF(AND(C9=10,D9=1387),A100*27.9,IF(AND(C9=11,D9=1387),A100*27.8,IF(AND(C9=12,D9=1387),A100*27.9))))))))))))</f>
        <v>0</v>
      </c>
      <c r="O20" s="19" t="b">
        <f>IF(AND(F9=1,G9=1387),A100*24.4,IF(AND(F9=2,G9=1387),A100*24.8,IF(AND(F9=3,G9=1387),A100*25.4,IF(AND(F9=4,G9=1387),A100*25.5,IF(AND(F9=5,G9=1387),A100*26,IF(AND(F9=6,G9=1387),A100*27,IF(AND(C9=7,G9=1387),A100*27.5,IF(AND(F9=8,G9=1387),A100*27.7,IF(AND(F9=9,G9=1387),A100*28,IF(AND(F9=10,G9=1387),A100*27.9,IF(AND(F9=11,G9=1387),A100*27.8,IF(AND(F9=12,G9=1387),A100*27.9))))))))))))</f>
        <v>0</v>
      </c>
      <c r="Q20" s="19">
        <v>1333</v>
      </c>
    </row>
    <row r="21" spans="1:19" ht="18.75" hidden="1" x14ac:dyDescent="0.25">
      <c r="B21" s="20"/>
      <c r="C21" s="20"/>
      <c r="D21" s="20"/>
      <c r="E21" s="122"/>
      <c r="F21" s="20"/>
      <c r="G21" s="20"/>
      <c r="H21" s="20"/>
      <c r="M21" s="19">
        <v>1388</v>
      </c>
      <c r="N21" s="19" t="b">
        <f>IF(AND(C9=1,D9=1388),A100*28.2,IF(AND(C9=2,D9=1388),A100*28.6,IF(AND(C9=3,D9=1388),A100*29.1,IF(AND(C9=4,D9=1388),A100*29.1,IF(AND(C9=5,D9=1388),A100*29.4,IF(AND(C9=6,D9=1388),A100*29.5,IF(AND(C9=7,D9=1388),A100*29.6,IF(AND(C9=8,D9=1388),A100*29.7,IF(AND(C9=9,D9=1388),A100*30.1,IF(AND(C9=10,D9=1388),A100*30.1,IF(AND(C9=11,D9=1388),A100*30.3,IF(AND(C9=12,D9=1388),A100*30.8))))))))))))</f>
        <v>0</v>
      </c>
      <c r="O21" s="19" t="b">
        <f>IF(AND(F9=1,G9=1388),A100*28.2,IF(AND(F9=2,G9=1388),A100*28.6,IF(AND(F9=3,G9=1388),A100*29.1,IF(AND(F9=4,G9=1388),A100*29.1,IF(AND(F9=5,G9=1388),A100*29.4,IF(AND(F9=6,G9=1388),A100*29.5,IF(AND(F9=7,G9=1388),A100*29.6,IF(AND(F9=8,G9=1388),A100*29.7,IF(AND(F9=9,G9=1388),A100*30.1,IF(AND(F9=10,G9=1388),A100*30.1,IF(AND(F9=11,G9=1388),A100*30.3,IF(AND(F9=12,G9=1388),A100*30.8))))))))))))</f>
        <v>0</v>
      </c>
      <c r="Q21" s="19">
        <v>1334</v>
      </c>
    </row>
    <row r="22" spans="1:19" ht="18.75" hidden="1" x14ac:dyDescent="0.25">
      <c r="B22" s="20"/>
      <c r="C22" s="127"/>
      <c r="D22" s="127"/>
      <c r="E22" s="123"/>
      <c r="F22" s="127"/>
      <c r="G22" s="127"/>
      <c r="H22" s="20"/>
      <c r="M22" s="19">
        <v>1389</v>
      </c>
      <c r="N22" s="19" t="b">
        <f>IF(AND(C9=1,D9=1389),A100*31.1,IF(AND(C9=2,D9=1389),A100*31.2,IF(AND(C9=3,D9=1389),A100*31.5,IF(AND(C9=4,D9=1389),A100*31.8,IF(AND(C9=5,D9=1389),A100*32.2,IF(AND(C9=6,D9=1389),A100*32.5,IF(AND(C9=7,D9=1389),A100*33.1,IF(AND(C9=8,D9=1389),A100*33.4,IF(AND(C9=9,D9=1389),A100*33.9,IF(AND(C9=10,D9=1389),A100*34.8,IF(AND(C9=11,D9=1389),A100*35.7,IF(AND(C9=12,D9=1389),A100*36.9))))))))))))</f>
        <v>0</v>
      </c>
      <c r="O22" s="19" t="b">
        <f>IF(AND(F9=1,G9=1389),A100*31.1,IF(AND(F9=2,G9=1389),A100*31.2,IF(AND(F9=3,G9=1389),A100*31.5,IF(AND(F9=4,G9=1389),A100*31.8,IF(AND(F9=5,G9=1389),A100*32.2,IF(AND(F9=6,D9=1389),A100*32.5,IF(AND(F9=7,G9=1389),A100*33.1,IF(AND(F9=8,G9=1389),A100*33.4,IF(AND(F9=9,G9=1389),A100*33.9,IF(AND(F9=10,G9=1389),A100*34.8,IF(AND(F9=11,G9=1389),A100*35.7,IF(AND(F9=12,G9=1389),A100*36.9))))))))))))</f>
        <v>0</v>
      </c>
      <c r="Q22" s="19">
        <v>1335</v>
      </c>
    </row>
    <row r="23" spans="1:19" ht="26.25" hidden="1" x14ac:dyDescent="0.4">
      <c r="B23" s="20"/>
      <c r="C23" s="128"/>
      <c r="D23" s="128"/>
      <c r="E23" s="124"/>
      <c r="F23" s="128"/>
      <c r="G23" s="128"/>
      <c r="H23" s="20"/>
      <c r="M23" s="19">
        <v>1390</v>
      </c>
      <c r="N23" s="19" t="b">
        <f>IF(AND(C9=1,D9=1390),A100*37.5,IF(AND(C9=2,D9=1390),A100*38.1,IF(AND(C9=3,D9=1390),A100*38.6,IF(AND(C9=4,D9=1390),A100*38.7,IF(AND(C9=5,D9=1390),A100*39.1,IF(AND(C9=6,D9=1390),A100*39.8,IF(AND(C9=7,D9=1390),A100*40.2,IF(AND(C9=8,D9=1390),A100*40.8,IF(AND(C9=9,D9=1390),A100*41.4,IF(AND(C9=10,D9=1390),A100*42,IF(AND(C9=11,D9=1390),A100*43.1,IF(AND(C9=12,D9=1390),A100*44.5))))))))))))</f>
        <v>0</v>
      </c>
      <c r="O23" s="19" t="b">
        <f>IF(AND(F9=1,G9=1390),A100*37.5,IF(AND(F9=2,G9=1390),A100*38.1,IF(AND(F9=3,G9=1390),A100*38.6,IF(AND(F9=4,G9=1390),A100*38.7,IF(AND(F9=5,G9=1390),A100*39.1,IF(AND(F9=6,G9=1390),A100*39.8,IF(AND(F9=7,G9=1390),A100*40.2,IF(AND(F9=8,G9=1390),A100*40.8,IF(AND(F9=9,G9=1390),A100*41.4,IF(AND(F9=10,G9=1390),A100*42,IF(AND(F9=11,G9=1390),A100*43.1,IF(AND(F9=12,G9=1390),A100*44.5))))))))))))</f>
        <v>0</v>
      </c>
      <c r="Q23" s="19">
        <v>1336</v>
      </c>
    </row>
    <row r="24" spans="1:19" ht="18.75" hidden="1" x14ac:dyDescent="0.25">
      <c r="B24" s="20"/>
      <c r="C24" s="20"/>
      <c r="D24" s="20"/>
      <c r="E24" s="31"/>
      <c r="F24" s="20"/>
      <c r="G24" s="20"/>
      <c r="H24" s="20"/>
      <c r="M24" s="19">
        <v>1391</v>
      </c>
      <c r="N24" s="19" t="b">
        <f>IF(AND(C9=1,D9=1391),A100*45.5,IF(AND(C9=2,D9=1391),A100*46.6,IF(AND(C9=3,D9=1391),A100*47.1,IF(AND(C9=4,D9=1391),A100*48.1,IF(AND(C9=5,D9=1391),A100*48.9,IF(AND(C9=6,D9=1391),A100*50.3,IF(AND(C9=7,D9=1391),A100*52.7,IF(AND(C9=8,D9=1391),A100*55.2,IF(AND(C9=9,D9=1391),A100*56.4,IF(AND(C9=10,D9=1391),A100*57.5,IF(AND(C9=11,D9=1391),A100*60.5,IF(AND(C9=12,D9=1391),A100*62.9))))))))))))</f>
        <v>0</v>
      </c>
      <c r="O24" s="19" t="b">
        <f>IF(AND(F9=1,G9=1391),A100*45.5,IF(AND(F9=2,G9=1391),A100*46.6,IF(AND(F9=3,G9=1391),A100*47.1,IF(AND(F9=4,G9=1391),A100*48.1,IF(AND(F9=5,G9=1391),A100*48.9,IF(AND(F9=6,G9=1391),A100*50.3,IF(AND(F9=7,G9=1391),A100*52.7,IF(AND(F9=8,G9=1391),A100*55.2,IF(AND(F9=9,G9=1391),A100*56.4,IF(AND(F9=10,G9=1391),A100*57.5,IF(AND(F9=11,G9=1391),A100*60.5,IF(AND(F9=12,G9=1391),A100*62.9))))))))))))</f>
        <v>0</v>
      </c>
      <c r="Q24" s="19">
        <v>1337</v>
      </c>
    </row>
    <row r="25" spans="1:19" ht="18.75" hidden="1" x14ac:dyDescent="0.25">
      <c r="B25" s="20"/>
      <c r="C25" s="20"/>
      <c r="D25" s="20"/>
      <c r="E25" s="23"/>
      <c r="F25" s="20"/>
      <c r="G25" s="20"/>
      <c r="H25" s="20"/>
      <c r="M25" s="19">
        <v>1392</v>
      </c>
      <c r="N25" s="19" t="b">
        <f>IF(AND(C9=1,D9=1392),A100*64.7,IF(AND(C9=2,D9=1392),A100*66,IF(AND(C9=3,D9=1392),A100*68.3,IF(AND(C9=4,D9=1392),A100*69.2,IF(AND(C9=5,D9=1392),A100*70,IF(AND(C9=6,D9=1392),A100*71.2,IF(AND(C9=7,D9=1392),A100*72.1,IF(AND(C9=8,D9=1392),A100*72.8,IF(AND(C9=9,D9=1392),A100*73.1,IF(AND(C9=10,D9=1392),A100*74,IF(AND(C9=11,D9=1392),A100*74.3,IF(AND(C9=12,D9=1392),A100*75.2))))))))))))</f>
        <v>0</v>
      </c>
      <c r="O25" s="19" t="b">
        <f>IF(AND(F9=1,G9=1392),A100*64.7,IF(AND(F9=2,G9=1392),A100*66,IF(AND(F9=3,G9=1392),A100*68.3,IF(AND(F9=4,G9=1392),A100*69.2,IF(AND(F9=5,G9=1392),A100*70,IF(AND(F9=6,G9=1392),A100*71.2,IF(AND(F9=7,G9=1392),A100*72.1,IF(AND(F9=8,G9=1392),A100*72.8,IF(AND(F9=9,G9=1392),A100*73.1,IF(AND(F9=10,G9=1392),A100*74,IF(AND(F9=11,G9=1392),A100*74.3,IF(AND(F9=12,G9=1392),A100*75.2))))))))))))</f>
        <v>0</v>
      </c>
      <c r="Q25" s="19">
        <v>1338</v>
      </c>
    </row>
    <row r="26" spans="1:19" ht="18.75" hidden="1" x14ac:dyDescent="0.3">
      <c r="B26" s="20"/>
      <c r="C26" s="20"/>
      <c r="D26" s="20"/>
      <c r="E26" s="39"/>
      <c r="F26" s="20"/>
      <c r="G26" s="20"/>
      <c r="H26" s="20"/>
      <c r="M26" s="19">
        <v>1393</v>
      </c>
      <c r="N26" s="19" t="b">
        <f>IF(AND(C9=1,D9=1393),A100*76,IF(AND(C9=2,D9=1393),A100*76.9,IF(AND(C9=3,D9=1393),A100*78.2,IF(AND(C9=4,D9=1393),A100*79.3,IF(AND(C9=5,D9=1393),A100*80.4,IF(AND(C9=6,D9=1393),A100*81.4,IF(AND(C9=7,D9=1393),A100*82.6,IF(AND(C9=8,D9=1393),A100*83.8,IF(AND(C9=9,D9=1393),A100*85.4,IF(AND(C9=10,D9=1393),A100*85.6,IF(AND(C9=11,D9=1393),A100*86.3,IF(AND(C9=12,D9=1393),A100*87.4))))))))))))</f>
        <v>0</v>
      </c>
      <c r="O26" s="19" t="b">
        <f>IF(AND(F9=1,G9=1393),A100*76,IF(AND(F9=2,G9=1393),A100*76.9,IF(AND(F9=3,G9=1393),A100*78.2,IF(AND(F9=4,G9=1393),A100*79.3,IF(AND(F9=5,G9=1393),A100*80.4,IF(AND(F9=6,G9=1393),A100*81.4,IF(AND(F9=7,G9=1393),A100*82.6,IF(AND(F9=8,G9=1393),A100*83.8,IF(AND(F9=9,G9=1393),A100*85.4,IF(AND(F9=10,G9=1393),A100*85.6,IF(AND(F9=11,G9=1393),A100*86.3,IF(AND(C9=12,G9=1393),A100*87.4))))))))))))</f>
        <v>0</v>
      </c>
      <c r="Q26" s="19">
        <v>1339</v>
      </c>
    </row>
    <row r="27" spans="1:19" ht="18.75" hidden="1" x14ac:dyDescent="0.25">
      <c r="B27" s="20"/>
      <c r="C27" s="20"/>
      <c r="D27" s="20"/>
      <c r="E27" s="23"/>
      <c r="F27" s="20"/>
      <c r="G27" s="20"/>
      <c r="H27" s="20"/>
      <c r="M27" s="19">
        <v>1394</v>
      </c>
      <c r="N27" s="19" t="b">
        <f>IF(AND(C9=1,D9=1394),A100*88.5,IF(AND(C9=2,D9=1394),A100*89.4,IF(AND(C9=3,D9=1394),A100*90.9,IF(AND(C9=4,D9=1394),A100*90.6,IF(AND(C9=5,D9=1394),A100*90.5,IF(AND(C9=6,D9=1394),A100*91,IF(AND(C9=7,D9=1394),A100*91.5,IF(AND(C9=8,D9=1394),A100*92.2,IF(AND(C9=9,D9=1394),A100*93.4,IF(AND(C9=10,D9=1394),A100*93.8,IF(AND(C9=11,D9=1394),A100*94,IF(AND(C9=12,D9=1394),A100*94.7))))))))))))</f>
        <v>0</v>
      </c>
      <c r="O27" s="19" t="b">
        <f>IF(AND(F9=1,G9=1394),A100*88.5,IF(AND(F9=2,G9=1394),A100*89.4,IF(AND(F9=3,G9=1394),A100*90.9,IF(AND(F9=4,G9=1394),A100*90.6,IF(AND(F9=5,G9=1394),A100*90.5,IF(AND(F9=6,G9=1394),A100*91,IF(AND(F9=7,G9=1394),A100*91.5,IF(AND(F9=8,G9=1394),A100*92.2,IF(AND(F9=9,G9=1394),A100*93.4,IF(AND(F9=10,G9=1394),A100*93.8,IF(AND(F9=11,G9=1394),A100*94,IF(AND(F9=12,G9=1394),A100*94.7))))))))))))</f>
        <v>0</v>
      </c>
      <c r="Q27" s="19">
        <v>1340</v>
      </c>
    </row>
    <row r="28" spans="1:19" hidden="1" x14ac:dyDescent="0.25">
      <c r="B28" s="20"/>
      <c r="C28" s="20"/>
      <c r="D28" s="20"/>
      <c r="E28" s="20"/>
      <c r="F28" s="20"/>
      <c r="G28" s="20"/>
      <c r="H28" s="20"/>
      <c r="M28" s="19">
        <v>1395</v>
      </c>
      <c r="N28" s="19" t="b">
        <f>IF(AND(C9=1,D9=1395),A100*95,IF(AND(C9=2,D9=1395),A100*96.3,IF(AND(C9=3,D9=1395),A100*97.7,IF(AND(C9=4,D9=1395),A100*98.3,IF(AND(C9=5,D9=1395),A100*99.2,IF(AND(C9=6,D9=1395),A100*99.6,IF(AND(C9=7,D9=1395),A100*100,IF(AND(C9=8,D9=1395),A100*100.2,IF(AND(C9=9,D9=1395),A100*101.7,IF(AND(C9=10,D9=1395),A100*102.5,IF(AND(C9=11,D9=1395),A100*103.7,IF(AND(C9=12,D9=1395),A100*105.9))))))))))))</f>
        <v>0</v>
      </c>
      <c r="O28" s="19" t="b">
        <f>IF(AND(F9=1,G9=1395),A100*95,IF(AND(F9=2,G9=1395),A100*96.3,IF(AND(F9=3,G9=1395),A100*97.7,IF(AND(F9=4,G9=1395),A100*98.3,IF(AND(F9=5,G9=1395),A100*99.2,IF(AND(F9=6,G9=1395),A100*99.6,IF(AND(F9=7,G9=1395),A100*100,IF(AND(F9=8,G9=1395),A100*100.2,IF(AND(F9=9,G9=1395),A100*101.7,IF(AND(F9=10,G9=1395),A100*102.5,IF(AND(F9=11,G9=1395),A100*103.7,IF(AND(F9=12,G9=1395),A100*105.9))))))))))))</f>
        <v>0</v>
      </c>
      <c r="Q28" s="19">
        <v>1341</v>
      </c>
      <c r="R28" s="19" t="b">
        <f>IF(AND(C23=1341),A100*0.048,IF(AND(C23=1342),A100*0.048,IF(AND(C23=1343),A100*0.052,IF(AND(C23=1344),A100*0.052,IF(AND(C23=1345),A100*0.052,IF(AND(C23=1346),A100*0.052,IF(AND(C23=1347),A100*0.052,IF(AND(C23=1348),A100*0.052,IF(AND(C23=1349),A100*0.056,IF(AND(C23=1350),A100*0.056))))))))))</f>
        <v>0</v>
      </c>
      <c r="S28" s="19" t="b">
        <f>IF(AND(F23=1341),A100*0.048,IF(AND(F23=1342),A100*0.048,IF(AND(F23=1343),A100*0.052,IF(AND(F23=1344),A100*0.052,IF(AND(F23=1345),A100*0.052,IF(AND(F23=1346),A100*0.052,IF(AND(F23=1347),A100*0.052,IF(AND(F23=1348),A100*0.052,IF(AND(F23=1349),A100*0.056,IF(AND(F23=1350),A100*0.056))))))))))</f>
        <v>0</v>
      </c>
    </row>
    <row r="29" spans="1:19" hidden="1" x14ac:dyDescent="0.25">
      <c r="B29" s="20"/>
      <c r="C29" s="20"/>
      <c r="D29" s="20"/>
      <c r="E29" s="20"/>
      <c r="F29" s="20"/>
      <c r="G29" s="20"/>
      <c r="H29" s="20"/>
      <c r="M29" s="19">
        <v>1396</v>
      </c>
      <c r="N29" s="19" t="b">
        <f>IF(AND(C9=1,D9=1396),A100*107.1,IF(AND(C9=2,D9=1396),A100*107.1,IF(AND(C9=3,D9=1396),A100*107.8,IF(AND(C9=4,D9=1396),A100*107.5,IF(AND(C9=5,D9=1396),A100*107.7,IF(AND(C9=6,D9=1396),A100*108,IF(AND(C9=7,D9=1396),A100*108.4,IF(AND(C9=8,D9=1396),A100*109.8,IF(AND(C9=9,D9=1396),A100*111.9,IF(AND(C9=10,D9=1396),A100*112.4,IF(AND(C9=11,D9=1396),A100*113.4,IF(AND(C9=12,D9=1396),A100*114.7))))))))))))</f>
        <v>0</v>
      </c>
      <c r="O29" s="19" t="b">
        <f>IF(AND(F9=1,G9=1396),A100*107.1,IF(AND(F9=2,G9=1396),A100*107.1,IF(AND(F9=3,G9=1396),A100*107.8,IF(AND(F9=4,G9=1396),A100*107.5,IF(AND(F9=5,G9=1396),A100*107.7,IF(AND(F9=6,G9=1396),A100*108,IF(AND(F9=7,G9=1396),A100*108.4,IF(AND(F9=8,G9=1396),A100*109.8,IF(AND(F9=9,G9=1396),A100*111.9,IF(AND(F9=10,G9=1396),A100*112.4,IF(AND(F9=11,G9=1396),A100*113.4,IF(AND(F9=12,G9=1396),A100*114.7))))))))))))</f>
        <v>0</v>
      </c>
      <c r="Q29" s="19">
        <v>1342</v>
      </c>
    </row>
    <row r="30" spans="1:19" hidden="1" x14ac:dyDescent="0.25">
      <c r="M30" s="19">
        <v>1397</v>
      </c>
      <c r="N30" s="19" t="b">
        <f>IF(AND(C9=1,D9=1397),A100*115.6,IF(AND(C9=2,D9=1397),A100*117.5,IF(AND(C9=3,D9=1397),A100*122.6,IF(AND(C9=4,D9=1397),A100*126.8,IF(AND(C9=5,D9=1397),A100*133.8,IF(AND(C9=6,D9=1397),A100*141.9,IF(AND(C9=7,D9=1397),A100*148.4,IF(AND(C9=8,D9=1397),A100*153.6,IF(AND(C9=9,D9=1397),A100*159.3,IF(AND(C9=10,D9=1397),A100*162.1,IF(AND(C9=11,D9=1397),A100*167.7,IF(AND(C9=12,D9=1397),A100*176.7))))))))))))</f>
        <v>0</v>
      </c>
      <c r="O30" s="19" t="b">
        <f>IF(AND(F9=1,G9=1397),A100*115.6,IF(AND(F9=2,G9=1397),A100*117.5,IF(AND(F9=3,G9=1397),A100*122.6,IF(AND(F9=4,G9=1397),A100*126.8,IF(AND(F9=5,G9=1397),A100*133.8,IF(AND(F9=6,G9=1397),A100*141.9,IF(AND(F9=7,G9=1397),A100*148.4,IF(AND(F9=8,G9=1397),A100*153.6,IF(AND(F9=9,D9=1397),A100*159.3,IF(AND(F9=10,G9=1397),A100*162.1,IF(AND(F9=11,G9=1397),A100*167.7,IF(AND(F9=12,G9=1397),A100*176.7))))))))))))</f>
        <v>0</v>
      </c>
      <c r="Q30" s="19">
        <v>1343</v>
      </c>
    </row>
    <row r="31" spans="1:19" hidden="1" x14ac:dyDescent="0.25">
      <c r="M31" s="19">
        <v>1398</v>
      </c>
      <c r="N31" s="19" t="b">
        <f>IF(AND(C9=1,D9=1398),A100*182.7,IF(AND(C9=2,D9=1398),A100*188.2,IF(AND(C9=3,D9=1398),A100*192.6,IF(AND(C9=4,D9=1398),A100*196.9,IF(AND(C9=5,D9=1398),A100*198.5,IF(AND(C9=6,D9=1398),A100*200.1,IF(AND(C9=7,D9=1398),A100*201.4,IF(AND(C9=8,D9=1398),A100*204.1,IF(AND(C9=9,D9=1398),A100*212.5,IF(AND(C9=10,D9=1398),A100*214.7,IF(AND(C9=11,D9=1398),A100*219.6,IF(AND(C9=12,D9=1398),A100*226.5))))))))))))</f>
        <v>0</v>
      </c>
      <c r="O31" s="19" t="b">
        <f>IF(AND(F9=1,G9=1398),A100*182.7,IF(AND(F9=2,G9=1398),A100*188.2,IF(AND(F9=3,G9=1398),A100*192.6,IF(AND(F9=4,G9=1398),A100*196.9,IF(AND(F9=5,G9=1398),A100*198.5,IF(AND(F9=6,G9=1398),A100*200.1,IF(AND(F9=7,G9=1398),A100*201.4,IF(AND(F9=8,G9=1398),A100*204.1,IF(AND(C9=9,G9=1398),A100*212.5,IF(AND(F9=10,G9=1398),A100*214.7,IF(AND(F9=11,G9=1398),A100*219.6,IF(AND(F9=12,G9=1398),A100*226.5))))))))))))</f>
        <v>0</v>
      </c>
      <c r="Q31" s="19">
        <v>1344</v>
      </c>
    </row>
    <row r="32" spans="1:19" hidden="1" x14ac:dyDescent="0.25">
      <c r="I32" s="27"/>
      <c r="J32" s="27"/>
      <c r="M32" s="19">
        <v>1399</v>
      </c>
      <c r="N32" s="19" t="b">
        <f>IF(AND(C9=1,D9=1399),A100*229.9,IF(AND(C9=2,D9=1399),A100*240.2,IF(AND(C9=3,D9=1399),A100*249.8,IF(AND(C9=4,D9=1399),A100*261.8,IF(AND(C9=5,D9=1399),A100*270.8,IF(AND(C9=6,D9=1399),A100*281.3,IF(AND(C9=7,D9=1399),A100*302.8,IF(AND(C9=8,D9=1399),A100*326.1,IF(AND(C9=9,D9=1399),A100*338.9,IF(AND(C9=10,D9=1399),A100*347.5,IF(AND(C9=11,D9=1399),A100*363,IF(AND(C9=12,D9=1399),A100*374))))))))))))</f>
        <v>0</v>
      </c>
      <c r="O32" s="19" t="b">
        <f>IF(AND(F9=1,G9=1399),A100*229.9,IF(AND(F9=2,G9=1399),A100*240.2,IF(AND(F9=3,G9=1399),A100*249.8,IF(AND(F9=4,G9=1399),A100*261.8,IF(AND(F9=5,G9=1399),A100*270.8,IF(AND(F9=6,G9=1399),A100*281.3,IF(AND(F9=7,G9=1399),A100*302.8,IF(AND(F9=8,G9=1399),A100*326.1,IF(AND(F9=9,G9=1399),A100*338.9,IF(AND(F9=10,G9=1399),A100*347.5,IF(AND(F9=11,G9=1399),A100*363,IF(AND(F9=12,G9=1399),A100*374))))))))))))</f>
        <v>0</v>
      </c>
      <c r="Q32" s="19">
        <v>1345</v>
      </c>
    </row>
    <row r="33" spans="2:19" hidden="1" x14ac:dyDescent="0.25">
      <c r="B33" s="20"/>
      <c r="C33" s="20"/>
      <c r="D33" s="20"/>
      <c r="E33" s="20"/>
      <c r="F33" s="20"/>
      <c r="G33" s="20"/>
      <c r="H33" s="20"/>
      <c r="I33" s="27"/>
      <c r="J33" s="27"/>
      <c r="M33" s="19">
        <v>1400</v>
      </c>
      <c r="N33" s="19" t="b">
        <f>IF(AND(C9=1,D9=1400),A100*378.2,IF(AND(C9=2,D9=1400),A100*382,IF(AND(C9=3,D9=1400),A100*399.2,IF(AND(C9=4,D9=1400),A100*410,IF(AND(C9=5,D9=1400),A100*421.7,IF(AND(C9=6,D9=1400),A100*435.6,IF(AND(C9=7,D9=1400),A100*448.9,IF(AND(C9=8,D9=1400),A100*459.7,IF(AND(C9=9,D9=1400),A100*468.2,IF(AND(C9=10,D9=1400),A100*474.2,IF(AND(C9=11,D9=1400),A100*482,IF(AND(C9=12,D9=1400),A100*484.6))))))))))))</f>
        <v>0</v>
      </c>
      <c r="O33" s="19" t="b">
        <f>IF(AND(F9=1,G9=1400),A100*378.2,IF(AND(F9=2,G9=1400),A100*382,IF(AND(F9=3,G9=1400),A100*399.2,IF(AND(F9=4,G9=1400),A100*410,IF(AND(F9=5,G9=1400),A100*421.7,IF(AND(F9=6,G9=1400),A100*435.6,IF(AND(F9=7,G9=1400),A100*448.9,IF(AND(F9=8,G9=1400),A100*459.7,IF(AND(F9=9,G9=1400),A100*468.2,IF(AND(F9=10,G9=1400),A100*474.2,IF(AND(F9=11,G9=1400),A100*482,IF(AND(F9=12,G9=1400),A100*484.6))))))))))))</f>
        <v>0</v>
      </c>
      <c r="Q33" s="19">
        <v>1346</v>
      </c>
    </row>
    <row r="34" spans="2:19" ht="15.75" hidden="1" x14ac:dyDescent="0.25">
      <c r="B34" s="41"/>
      <c r="C34" s="41"/>
      <c r="D34" s="41"/>
      <c r="E34" s="41"/>
      <c r="F34" s="41"/>
      <c r="G34" s="41"/>
      <c r="H34" s="41"/>
      <c r="I34" s="27"/>
      <c r="J34" s="27"/>
      <c r="M34" s="19">
        <v>1401</v>
      </c>
      <c r="N34" s="19" t="b">
        <f>IF(AND(C9=1,D9=1401),A100*495.1,IF(AND(C9=2,D9=1401),A100*520.4,IF(AND(C9=3,D9=1401),A100*575.4,IF(AND(C9=4,D9=1401),A100*600.4,IF(AND(C9=5,D9=1401),A100*614.8,IF(AND(C9=6,D9=1401),A100*631,IF(AND(C9=7,D9=1401),A100*649.5,IF(AND(C9=8,D9=1401),A100*663.5,IF(AND(C9=9,D9=1401),A100*679.8,IF(AND(C9=10,D9=1401),A100*713.4,IF(AND(C9=11,D9=1401),A100*745,IF(AND(C9=12,D9=1401),A100*794.3))))))))))))</f>
        <v>0</v>
      </c>
      <c r="O34" s="19" t="b">
        <f>IF(AND(F9=1,G9=1401),A100*495.1,IF(AND(F9=2,G9=1401),A100*520.4,IF(AND(F9=3,G9=1401),A100*575.4,IF(AND(F9=4,G9=1401),A100*600.4,IF(AND(F9=5,G9=1401),A100*614.8,IF(AND(F9=6,G9=1401),A100*631,IF(AND(F9=7,G9=1401),A100*649.5,IF(AND(F9=8,G9=1401),A100*663.5,IF(AND(F9=9,G9=1401),A100*679.8,IF(AND(F9=10,G9=1401),A100*713.4,IF(AND(F9=11,G9=1401),A100*745,IF(AND(F9=12,G9=1401),A100*794.3))))))))))))</f>
        <v>0</v>
      </c>
      <c r="Q34" s="19">
        <v>1347</v>
      </c>
    </row>
    <row r="35" spans="2:19" hidden="1" x14ac:dyDescent="0.25">
      <c r="B35" s="42"/>
      <c r="C35" s="42"/>
      <c r="D35" s="42"/>
      <c r="E35" s="42"/>
      <c r="F35" s="42"/>
      <c r="G35" s="42"/>
      <c r="H35" s="42"/>
      <c r="I35" s="27"/>
      <c r="J35" s="27"/>
      <c r="M35" s="19">
        <v>1402</v>
      </c>
      <c r="N35" s="19" t="b">
        <f>IF(AND(C9=1,D9=1402),A100*834.9,IF(AND(C9=2,D9=1402),A100*858.3,IF(AND(C9=3,D9=1402),A100*885.8,IF(AND(C9=4,D9=1402),A100*908.8,IF(AND(C9=5,D9=1402),A100*940.6,IF(AND(C9=6,D9=1402),A100*971.6,IF(AND(C9=7,D9=1402),A100*995.9,IF(AND(C9=8,D9=1402),A100*1014.8,IF(AND(C9=9,D9=1402),A100*1048.3,IF(AND(C9=10,D9=1402),A100*1066.1,IF(AND(C9=11,D9=1402),A100*1076,IF(AND(C9=12,D9=1402),A100*1097.3))))))))))))</f>
        <v>0</v>
      </c>
      <c r="O35" s="19" t="b">
        <f>IF(AND(F9=1,G9=1402),A100*834.9,IF(AND(F9=2,G9=1402),A100*858.3,IF(AND(F9=3,G9=1402),A100*885.8,IF(AND(F9=4,G9=1402),A100*908.8,IF(AND(F9=5,G9=1402),A100*940.6,IF(AND(F9=6,G9=1402),A100*971.6,IF(AND(F9=7,G9=1402),A100*995.9,IF(AND(F9=8,G9=1402),A100*1014.8,IF(AND(F9=9,G9=1402),A100*1048.3,IF(AND(F9=10,G9=1402),A100*1066.1,IF(AND(F9=11,G9=1402),A100*1076,IF(AND(F9=12,G9=1402),A100*1097.3))))))))))))</f>
        <v>0</v>
      </c>
      <c r="Q35" s="19">
        <v>1348</v>
      </c>
    </row>
    <row r="36" spans="2:19" hidden="1" x14ac:dyDescent="0.25">
      <c r="B36" s="43"/>
      <c r="C36" s="43"/>
      <c r="D36" s="43"/>
      <c r="E36" s="43"/>
      <c r="F36" s="43"/>
      <c r="G36" s="43"/>
      <c r="H36" s="43"/>
      <c r="I36" s="27"/>
      <c r="J36" s="27"/>
      <c r="M36" s="19">
        <v>1403</v>
      </c>
      <c r="N36" s="19" t="b">
        <f>IF(AND(C9=1,D9=1403),A100*1125.8,IF(AND(C9=2,D9=1403),A100*1159.6,IF(AND(C9=3,D9=1403),A100*1206,IF(AND(C9=4,D9=1403),A100*1242.2,IF(AND(C9=5,D9=1403),A100*1277,IF(AND(C9=6,D9=1403),A100*1306.4,IF(AND(C9=7,D9=1403),A100*1339.1,IF(AND(C9=8,D9=1403),A100*1379.3,IF(AND(C9=9,D9=1403),A100*1402.7,IF(AND(C9=10,D9=1403),A100*1433.6,IF(AND(C9=11,D9=1403),A100*1485.2,IF(AND(C9=12,D9=1403),A100*1531.2))))))))))))</f>
        <v>0</v>
      </c>
      <c r="O36" s="19" t="b">
        <f>IF(AND(F9=1,G9=1403),A100*1125.8,IF(AND(F9=2,G9=1403),A100*1159.6,IF(AND(F9=3,G9=1403),A100*1206,IF(AND(F9=4,G9=1403),A100*1242.2,IF(AND(F9=5,G9=1403),A100*1277,IF(AND(F9=6,G9=1403),A100*1306.4,IF(AND(F9=7,G9=1403),A100*1339.1,IF(AND(F9=8,G9=1403),A100*1379.3,IF(AND(F9=9,G9=1403),A100*1402.7,IF(AND(F9=10,G9=1403),A100*1433.6,IF(AND(F9=11,G9=1403),A100*1485.2,IF(AND(F9=12,G9=1403),A100*1532.2))))))))))))</f>
        <v>0</v>
      </c>
      <c r="Q36" s="19">
        <v>1349</v>
      </c>
    </row>
    <row r="37" spans="2:19" hidden="1" x14ac:dyDescent="0.25">
      <c r="B37" s="20"/>
      <c r="C37" s="20"/>
      <c r="D37" s="20"/>
      <c r="E37" s="20"/>
      <c r="F37" s="20"/>
      <c r="G37" s="20"/>
      <c r="H37" s="20"/>
      <c r="I37" s="27"/>
      <c r="J37" s="27"/>
      <c r="M37" s="19">
        <v>1404</v>
      </c>
      <c r="N37" s="19">
        <f>IF(AND(C9=1,D9=1404),A100*1589.5,IF(AND(C9=2,D9=1404),A100*1625.7,IF(AND(C9=3,D9=1404),A100*1689.2,IF(AND(C9=4,D9=1404),A100*1742.7,IF(AND(C9=5,D9=1404),A100*1802.6,IF(AND(C9=6,D9=1404),A100*1877.9,IF(AND(C9=7,D9=1404),A100*1967.6,IF(AND(C9=8,D9=1404),A100*2033.7,IF(AND(C9=9,D9=1404),A100*2100.9,IF(AND(C9=10,D9=1404),A100*2220.7,IF(AND(C9=11,D9=1404),A100*2408.4,IF(AND(C9=12,D9=1404),A100*2481.3))))))))))))</f>
        <v>1589.5</v>
      </c>
      <c r="O37" s="19" t="b">
        <f>IF(AND(F9=1,G9=1404),A100*1589.5,IF(AND(F9=2,G9=1404),A100*1625.7,IF(AND(F9=3,G9=1404),A100*1689.2,IF(AND(F9=4,G9=1404),A100*1742.7,IF(AND(F9=5,G9=1404),A100*1802.6,IF(AND(F9=6,G9=1404),A100*1877.9,IF(AND(F9=7,G9=1404),A100*1967.6,IF(AND(F9=8,G9=1404),A100*2033.7,IF(AND(F9=9,G9=1404),A100*2100.9,IF(AND(F9=10,G9=1404),A100*2220.7,IF(AND(F9=11,G9=1404),A100*2408.4,IF(AND(F9=12,G9=1404),A100*2481.3))))))))))))</f>
        <v>0</v>
      </c>
      <c r="Q37" s="19">
        <v>1350</v>
      </c>
    </row>
    <row r="38" spans="2:19" hidden="1" x14ac:dyDescent="0.25">
      <c r="I38" s="27"/>
      <c r="J38" s="27"/>
      <c r="M38" s="19">
        <v>1405</v>
      </c>
      <c r="N38" s="19" t="b">
        <f>IF(AND(C9=1,D9=1405),A100*2655.2,IF(AND(C9=2,D9=1405),A100*0,IF(AND(C9=3,D9=1405),A100*0,IF(AND(C9=4,D9=1405),A100*0,IF(AND(C9=5,D9=1405),A100*0,IF(AND(C9=6,D9=1405),A100*0,IF(AND(C9=7,D9=1405),A100*0,IF(AND(C9=8,D9=1405),A100*0,IF(AND(C9=9,D9=1405),A100*0,IF(AND(C9=10,D9=1405),A100*0,IF(AND(C9=11,D9=1405),A100*0,IF(AND(C9=12,D9=1405),A100*0))))))))))))</f>
        <v>0</v>
      </c>
      <c r="O38" s="19">
        <f>IF(AND(F9=1,G9=1405),A100*2655.2,IF(AND(F9=2,G9=1405),A100*0,IF(AND(F9=3,G9=1405),A100*0,IF(AND(F9=4,G9=1405),A100*0,IF(AND(F9=5,G9=1405),A100*0,IF(AND(F9=6,G9=1405),A100*0,IF(AND(F9=7,G9=1405),A100*0,IF(AND(F9=8,G9=1405),A100*0,IF(AND(F9=9,G9=1405),A100*0,IF(AND(F9=10,G9=1405),A100*0,IF(AND(F9=11,G9=1405),A100*0,IF(AND(F9=12,G9=1405),A100*0))))))))))))</f>
        <v>2655.2</v>
      </c>
      <c r="Q38" s="19">
        <v>1351</v>
      </c>
      <c r="R38" s="19" t="b">
        <f>IF(AND(C23=1351),A100*0.06,IF(AND(C23=1352),A100*0.069,IF(AND(C23=1353),A100*0.0077,IF(AND(C23=1354),A100*0.085,IF(AND(C23=1355),A100*0.101,IF(AND(C23=1356),A100*0.125,IF(AND(C23=1357),A100*0.137,IF(AND(C23=1358),A100*0.153,IF(AND(C23=1359),A100*0.19,IF(AND(C23=1360),A100*0.234))))))))))</f>
        <v>0</v>
      </c>
      <c r="S38" s="19" t="b">
        <f>IF(AND(F23=1351),A100*0.06,IF(AND(F23=1352),A100*0.069,IF(AND(F23=1353),A100*0.0077,IF(AND(F23=1354),A100*0.085,IF(AND(F23=1355),A100*0.101,IF(AND(F23=1356),A100*0.125,IF(AND(F23=1357),A100*0.137,IF(AND(F23=1358),A100*0.153,IF(AND(F23=1359),A100*0.19,IF(AND(F23=1360),A100*0.234))))))))))</f>
        <v>0</v>
      </c>
    </row>
    <row r="39" spans="2:19" hidden="1" x14ac:dyDescent="0.25">
      <c r="Q39" s="19">
        <v>1352</v>
      </c>
    </row>
    <row r="40" spans="2:19" hidden="1" x14ac:dyDescent="0.25">
      <c r="N40" s="19">
        <f>SUM(N2:N38)</f>
        <v>1589.5</v>
      </c>
      <c r="O40" s="19">
        <f>SUM(O2:O38)</f>
        <v>2655.2</v>
      </c>
      <c r="Q40" s="19">
        <v>1353</v>
      </c>
    </row>
    <row r="41" spans="2:19" hidden="1" x14ac:dyDescent="0.25">
      <c r="Q41" s="19">
        <v>1354</v>
      </c>
    </row>
    <row r="42" spans="2:19" hidden="1" x14ac:dyDescent="0.25">
      <c r="Q42" s="19">
        <v>1355</v>
      </c>
    </row>
    <row r="43" spans="2:19" hidden="1" x14ac:dyDescent="0.25">
      <c r="Q43" s="19">
        <v>1356</v>
      </c>
    </row>
    <row r="44" spans="2:19" hidden="1" x14ac:dyDescent="0.25">
      <c r="Q44" s="19">
        <v>1357</v>
      </c>
    </row>
    <row r="45" spans="2:19" hidden="1" x14ac:dyDescent="0.25">
      <c r="Q45" s="19">
        <v>1358</v>
      </c>
    </row>
    <row r="46" spans="2:19" hidden="1" x14ac:dyDescent="0.25">
      <c r="Q46" s="19">
        <v>1359</v>
      </c>
    </row>
    <row r="47" spans="2:19" hidden="1" x14ac:dyDescent="0.25">
      <c r="Q47" s="19">
        <v>1360</v>
      </c>
    </row>
    <row r="48" spans="2:19" hidden="1" x14ac:dyDescent="0.25">
      <c r="Q48" s="19">
        <v>1361</v>
      </c>
      <c r="R48" s="19" t="b">
        <f>IF(AND(C23=1361),A100*0.278,IF(AND(C23=1362),A100*0.319,IF(AND(C23=1363),A100*0.355,IF(AND(C23=1364),A100*0.379,IF(AND(C23=1365),A100*0.468,IF(AND(C23=1366),A100*0.597,IF(AND(C23=1367),A100*0.77,IF(AND(C23=1368),A100*0.903,IF(AND(C23=1369),A100*0.984,IF(AND(C23=1370),A100*1.189))))))))))</f>
        <v>0</v>
      </c>
      <c r="S48" s="19" t="b">
        <f>IF(AND(F23=1361),A100*0.278,IF(AND(F23=1362),A100*0.319,IF(AND(F23=1363),A100*0.355,IF(AND(F23=1364),A100*0.379,IF(AND(F23=1365),A100*0.468,IF(AND(F23=1366),A100*0.597,IF(AND(F23=1367),A100*0.77,IF(AND(F23=1368),A100*0.903,IF(AND(F23=1369),A100*0.984,IF(AND(F23=1370),A100*1.189))))))))))</f>
        <v>0</v>
      </c>
    </row>
    <row r="49" spans="17:19" hidden="1" x14ac:dyDescent="0.25">
      <c r="Q49" s="19">
        <v>1362</v>
      </c>
    </row>
    <row r="50" spans="17:19" hidden="1" x14ac:dyDescent="0.25">
      <c r="Q50" s="19">
        <v>1363</v>
      </c>
    </row>
    <row r="51" spans="17:19" hidden="1" x14ac:dyDescent="0.25">
      <c r="Q51" s="19">
        <v>1364</v>
      </c>
    </row>
    <row r="52" spans="17:19" hidden="1" x14ac:dyDescent="0.25">
      <c r="Q52" s="19">
        <v>1365</v>
      </c>
    </row>
    <row r="53" spans="17:19" hidden="1" x14ac:dyDescent="0.25">
      <c r="Q53" s="19">
        <v>1366</v>
      </c>
    </row>
    <row r="54" spans="17:19" hidden="1" x14ac:dyDescent="0.25">
      <c r="Q54" s="19">
        <v>1367</v>
      </c>
    </row>
    <row r="55" spans="17:19" hidden="1" x14ac:dyDescent="0.25">
      <c r="Q55" s="19">
        <v>1368</v>
      </c>
    </row>
    <row r="56" spans="17:19" hidden="1" x14ac:dyDescent="0.25">
      <c r="Q56" s="19">
        <v>1369</v>
      </c>
    </row>
    <row r="57" spans="17:19" hidden="1" x14ac:dyDescent="0.25">
      <c r="Q57" s="19">
        <v>1370</v>
      </c>
    </row>
    <row r="58" spans="17:19" hidden="1" x14ac:dyDescent="0.25">
      <c r="Q58" s="19">
        <v>1371</v>
      </c>
      <c r="R58" s="19" t="b">
        <f>IF(AND(C23=1371),A100*1.48,IF(AND(C23=1372),A100*1.814,IF(AND(C23=1373),A100*2.456,IF(AND(C23=1374),A100*3.665,IF(AND(C23=1375),A100*4.52,IF(AND(C23=1376),A100*5.298,IF(AND(C23=1377),A100*6.258,IF(AND(C23=1378),A100*7.516,IF(AND(C23=1379),A100*8.463,IF(AND(C23=1380),A100*9.427))))))))))</f>
        <v>0</v>
      </c>
      <c r="S58" s="19" t="b">
        <f>IF(AND(F23=1371),A100*1.48,IF(AND(F23=1372),A100*1.814,IF(AND(F23=1373),A100*2.456,IF(AND(F23=1374),A100*3.665,IF(AND(F23=1375),A100*4.52,IF(AND(F23=1376),A100*5.298,IF(AND(F23=1377),A100*6.258,IF(AND(F23=1378),A100*7.516,IF(AND(F23=1379),A100*8.463,IF(AND(F23=1380),A100*9.427))))))))))</f>
        <v>0</v>
      </c>
    </row>
    <row r="59" spans="17:19" hidden="1" x14ac:dyDescent="0.25">
      <c r="Q59" s="19">
        <v>1372</v>
      </c>
    </row>
    <row r="60" spans="17:19" hidden="1" x14ac:dyDescent="0.25">
      <c r="Q60" s="19">
        <v>1373</v>
      </c>
    </row>
    <row r="61" spans="17:19" hidden="1" x14ac:dyDescent="0.25">
      <c r="Q61" s="19">
        <v>1374</v>
      </c>
    </row>
    <row r="62" spans="17:19" hidden="1" x14ac:dyDescent="0.25">
      <c r="Q62" s="19">
        <v>1375</v>
      </c>
    </row>
    <row r="63" spans="17:19" hidden="1" x14ac:dyDescent="0.25">
      <c r="Q63" s="19">
        <v>1376</v>
      </c>
    </row>
    <row r="64" spans="17:19" hidden="1" x14ac:dyDescent="0.25">
      <c r="Q64" s="19">
        <v>1377</v>
      </c>
    </row>
    <row r="65" spans="17:19" hidden="1" x14ac:dyDescent="0.25">
      <c r="Q65" s="19">
        <v>1378</v>
      </c>
    </row>
    <row r="66" spans="17:19" hidden="1" x14ac:dyDescent="0.25">
      <c r="Q66" s="19">
        <v>1379</v>
      </c>
    </row>
    <row r="67" spans="17:19" hidden="1" x14ac:dyDescent="0.25">
      <c r="Q67" s="19">
        <v>1380</v>
      </c>
    </row>
    <row r="68" spans="17:19" hidden="1" x14ac:dyDescent="0.25">
      <c r="Q68" s="19">
        <v>1381</v>
      </c>
      <c r="R68" s="19" t="b">
        <f>IF(AND(C23=1381),A100*10.915,IF(AND(C23=1382),A100*12.664,IF(AND(C23=1383),A100*14.544,IF(AND(C23=1384),A100*16.048,IF(AND(C23=1385),A100*17.955,IF(AND(C23=1386),A100*21.265,IF(AND(C23=1387),A100*26.66,IF(AND(C23=1388),A100*29.527,IF(AND(C23=1389),A100*33.188,IF(AND(C23=1390),A100*40.321))))))))))</f>
        <v>0</v>
      </c>
      <c r="S68" s="19" t="b">
        <f>IF(AND(F23=1381),A100*10.915,IF(AND(F23=1382),A100*12.664,IF(AND(F23=1383),A100*14.544,IF(AND(F23=1384),A100*16.048,IF(AND(F23=1385),A100*17.955,IF(AND(F23=1386),A100*21.265,IF(AND(F23=1387),A100*26.66,IF(AND(F23=1388),A100*29.527,IF(AND(F23=1389),A100*33.188,IF(AND(F23=1390),A100*40.321))))))))))</f>
        <v>0</v>
      </c>
    </row>
    <row r="69" spans="17:19" hidden="1" x14ac:dyDescent="0.25">
      <c r="Q69" s="19">
        <v>1382</v>
      </c>
    </row>
    <row r="70" spans="17:19" hidden="1" x14ac:dyDescent="0.25">
      <c r="Q70" s="19">
        <v>1383</v>
      </c>
    </row>
    <row r="71" spans="17:19" hidden="1" x14ac:dyDescent="0.25">
      <c r="Q71" s="19">
        <v>1384</v>
      </c>
    </row>
    <row r="72" spans="17:19" hidden="1" x14ac:dyDescent="0.25">
      <c r="Q72" s="19">
        <v>1385</v>
      </c>
    </row>
    <row r="73" spans="17:19" hidden="1" x14ac:dyDescent="0.25">
      <c r="Q73" s="19">
        <v>1386</v>
      </c>
    </row>
    <row r="74" spans="17:19" hidden="1" x14ac:dyDescent="0.25">
      <c r="Q74" s="19">
        <v>1387</v>
      </c>
    </row>
    <row r="75" spans="17:19" hidden="1" x14ac:dyDescent="0.25">
      <c r="Q75" s="19">
        <v>1388</v>
      </c>
    </row>
    <row r="76" spans="17:19" hidden="1" x14ac:dyDescent="0.25">
      <c r="Q76" s="19">
        <v>1389</v>
      </c>
    </row>
    <row r="77" spans="17:19" hidden="1" x14ac:dyDescent="0.25">
      <c r="Q77" s="19">
        <v>1390</v>
      </c>
    </row>
    <row r="78" spans="17:19" hidden="1" x14ac:dyDescent="0.25">
      <c r="Q78" s="19">
        <v>1391</v>
      </c>
      <c r="R78" s="19" t="b">
        <f>IF(AND(C23=1391),A100*52.635,IF(AND(C23=1392),A100*70.916,IF(AND(C23=1393),A100*81.948,IF(AND(C23=1394),A100*91.714,IF(AND(C23=1395),A100*100,IF(AND(C23=1396),A100*109.65,IF(AND(C23=1397),A100*143.842,IF(AND(C23=1398),A100*203.15,IF(AND(C23=1399),A100*298.858,IF(AND(C23=1400),A100*437.042))))))))))</f>
        <v>0</v>
      </c>
      <c r="S78" s="19" t="b">
        <f>IF(AND(F23=1391),A100*52.635,IF(AND(F23=1392),A100*70.916,IF(AND(F23=1393),A100*81.948,IF(AND(F23=1394),A100*91.714,IF(AND(F23=1395),A100*100,IF(AND(F23=1396),A100*109.65,IF(AND(F23=1397),A100*143.842,IF(AND(F23=1398),A100*203.15,IF(AND(F23=1399),A100*298.858,IF(AND(F23=1400),A100*437.042))))))))))</f>
        <v>0</v>
      </c>
    </row>
    <row r="79" spans="17:19" hidden="1" x14ac:dyDescent="0.25">
      <c r="Q79" s="19">
        <v>1392</v>
      </c>
    </row>
    <row r="80" spans="17:19" hidden="1" x14ac:dyDescent="0.25">
      <c r="Q80" s="19">
        <v>1393</v>
      </c>
    </row>
    <row r="81" spans="17:19" hidden="1" x14ac:dyDescent="0.25">
      <c r="Q81" s="19">
        <v>1394</v>
      </c>
    </row>
    <row r="82" spans="17:19" hidden="1" x14ac:dyDescent="0.25">
      <c r="Q82" s="19">
        <v>1395</v>
      </c>
    </row>
    <row r="83" spans="17:19" hidden="1" x14ac:dyDescent="0.25">
      <c r="Q83" s="19">
        <v>1396</v>
      </c>
    </row>
    <row r="84" spans="17:19" hidden="1" x14ac:dyDescent="0.25">
      <c r="Q84" s="19">
        <v>1397</v>
      </c>
    </row>
    <row r="85" spans="17:19" hidden="1" x14ac:dyDescent="0.25">
      <c r="Q85" s="19">
        <v>1398</v>
      </c>
    </row>
    <row r="86" spans="17:19" hidden="1" x14ac:dyDescent="0.25">
      <c r="Q86" s="19">
        <v>1399</v>
      </c>
    </row>
    <row r="87" spans="17:19" hidden="1" x14ac:dyDescent="0.25">
      <c r="Q87" s="19">
        <v>1400</v>
      </c>
      <c r="R87" s="19" t="b">
        <f>IF(AND(C23=1401),A100*640.225,IF(AND(C23=1402),A100*974.75,IF(AND(C23=1403),A100*0)))</f>
        <v>0</v>
      </c>
      <c r="S87" s="19" t="b">
        <f>IF(AND(F23=1401),A100*640.225,IF(AND(F23=1402),A100*974.75,IF(AND(F23=1403),A100*0)))</f>
        <v>0</v>
      </c>
    </row>
    <row r="88" spans="17:19" hidden="1" x14ac:dyDescent="0.25">
      <c r="Q88" s="19">
        <v>1401</v>
      </c>
    </row>
    <row r="89" spans="17:19" hidden="1" x14ac:dyDescent="0.25">
      <c r="Q89" s="19">
        <v>1402</v>
      </c>
    </row>
    <row r="90" spans="17:19" hidden="1" x14ac:dyDescent="0.25">
      <c r="Q90" s="19">
        <v>1403</v>
      </c>
    </row>
    <row r="91" spans="17:19" hidden="1" x14ac:dyDescent="0.25"/>
    <row r="92" spans="17:19" hidden="1" x14ac:dyDescent="0.25"/>
    <row r="93" spans="17:19" hidden="1" x14ac:dyDescent="0.25">
      <c r="R93" s="19">
        <f>SUM(R2:R90)</f>
        <v>0</v>
      </c>
      <c r="S93" s="19">
        <f>SUM(S2:S90)</f>
        <v>0</v>
      </c>
    </row>
    <row r="94" spans="17:19" hidden="1" x14ac:dyDescent="0.25"/>
    <row r="95" spans="17:19" hidden="1" x14ac:dyDescent="0.25"/>
    <row r="96" spans="17:19" hidden="1" x14ac:dyDescent="0.25"/>
    <row r="97" spans="1:1" hidden="1" x14ac:dyDescent="0.25"/>
    <row r="98" spans="1:1" hidden="1" x14ac:dyDescent="0.25"/>
    <row r="99" spans="1:1" hidden="1" x14ac:dyDescent="0.25"/>
    <row r="100" spans="1:1" hidden="1" x14ac:dyDescent="0.25">
      <c r="A100" s="32">
        <v>1</v>
      </c>
    </row>
    <row r="101" spans="1:1" hidden="1" x14ac:dyDescent="0.25"/>
    <row r="102" spans="1:1" hidden="1" x14ac:dyDescent="0.25"/>
    <row r="103" spans="1:1" hidden="1" x14ac:dyDescent="0.25"/>
    <row r="104" spans="1:1" hidden="1" x14ac:dyDescent="0.25"/>
  </sheetData>
  <sheetProtection algorithmName="SHA-512" hashValue="ksj7JYH3+P/qC4rOkXvNKYwWnN15cVUrjtiAjQ5opluGZmd7caCzBr+1pVHzQiADD0rtbdg2vtdDYL1qqU4FFA==" saltValue="3/USIUNW3NzLCxWyjXizlg==" spinCount="100000" sheet="1" objects="1" scenarios="1"/>
  <mergeCells count="7">
    <mergeCell ref="D2:D3"/>
    <mergeCell ref="E2:E3"/>
    <mergeCell ref="F2:F3"/>
    <mergeCell ref="E5:E6"/>
    <mergeCell ref="C7:D7"/>
    <mergeCell ref="E7:E8"/>
    <mergeCell ref="F7:G7"/>
  </mergeCells>
  <dataValidations count="4">
    <dataValidation type="list" allowBlank="1" showInputMessage="1" showErrorMessage="1" sqref="C23:D23 F23:G23">
      <formula1>$Q$2:$Q$90</formula1>
    </dataValidation>
    <dataValidation type="list" allowBlank="1" showInputMessage="1" showErrorMessage="1" sqref="D9">
      <formula1>$M$2:$M$38</formula1>
    </dataValidation>
    <dataValidation type="list" allowBlank="1" showInputMessage="1" showErrorMessage="1" sqref="C9 F9">
      <formula1>$L$2:$L$13</formula1>
    </dataValidation>
    <dataValidation type="list" allowBlank="1" showInputMessage="1" showErrorMessage="1" sqref="G9">
      <formula1>$M$2:$M$38</formula1>
    </dataValidation>
  </dataValidations>
  <hyperlinks>
    <hyperlink ref="D2" location="'صفحه اصلی'!A1" display="صفحه اصلی"/>
  </hyperlinks>
  <pageMargins left="0.7" right="0.7" top="0.75" bottom="0.75" header="0.3" footer="0.3"/>
  <pageSetup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3"/>
  <sheetViews>
    <sheetView showGridLines="0" showRowColHeaders="0" rightToLeft="1" workbookViewId="0">
      <selection activeCell="D16" sqref="D16:D17"/>
    </sheetView>
  </sheetViews>
  <sheetFormatPr defaultColWidth="9.140625" defaultRowHeight="15" x14ac:dyDescent="0.25"/>
  <cols>
    <col min="1" max="1" width="4.42578125" style="11" customWidth="1"/>
    <col min="2" max="2" width="5.28515625" style="11" customWidth="1"/>
    <col min="3" max="3" width="1.5703125" style="11" customWidth="1"/>
    <col min="4" max="4" width="19.7109375" style="11" customWidth="1"/>
    <col min="5" max="5" width="35" style="11" customWidth="1"/>
    <col min="6" max="6" width="19.7109375" style="11" customWidth="1"/>
    <col min="7" max="7" width="5.28515625" style="11" customWidth="1"/>
    <col min="8" max="8" width="9.140625" style="11"/>
    <col min="9" max="9" width="0" style="11" hidden="1" customWidth="1"/>
    <col min="10" max="11" width="9.140625" style="11"/>
    <col min="12" max="12" width="19.28515625" style="11" customWidth="1"/>
    <col min="13" max="13" width="9.140625" style="11"/>
    <col min="14" max="14" width="25.28515625" style="11" hidden="1" customWidth="1"/>
    <col min="15" max="15" width="9.140625" style="11"/>
    <col min="16" max="16" width="14.28515625" style="11" customWidth="1"/>
    <col min="17" max="17" width="26.7109375" style="11" customWidth="1"/>
    <col min="18" max="16384" width="9.140625" style="11"/>
  </cols>
  <sheetData>
    <row r="2" spans="1:14" ht="0.75" customHeight="1" x14ac:dyDescent="0.25">
      <c r="B2" s="14"/>
      <c r="C2" s="34"/>
      <c r="D2" s="133"/>
      <c r="E2" s="134"/>
      <c r="F2" s="135"/>
      <c r="G2" s="34"/>
      <c r="H2" s="14"/>
      <c r="N2" s="18"/>
    </row>
    <row r="3" spans="1:14" ht="26.25" hidden="1" x14ac:dyDescent="0.25">
      <c r="B3" s="14"/>
      <c r="C3" s="34"/>
      <c r="D3" s="133"/>
      <c r="E3" s="134"/>
      <c r="F3" s="135"/>
      <c r="G3" s="34"/>
      <c r="H3" s="14"/>
      <c r="N3" s="35">
        <f>IF(E7&lt;=200000000,E7*2.5%)</f>
        <v>0</v>
      </c>
    </row>
    <row r="4" spans="1:14" ht="26.25" hidden="1" x14ac:dyDescent="0.25">
      <c r="B4" s="14"/>
      <c r="C4" s="34"/>
      <c r="D4" s="34"/>
      <c r="E4" s="34"/>
      <c r="F4" s="34"/>
      <c r="G4" s="34"/>
      <c r="H4" s="14"/>
      <c r="N4" s="36" t="b">
        <f>IF(E7&gt;200000000,E7*3.5%-7000000+5000000)</f>
        <v>0</v>
      </c>
    </row>
    <row r="5" spans="1:14" ht="24.75" hidden="1" customHeight="1" x14ac:dyDescent="0.25">
      <c r="B5" s="14"/>
      <c r="D5" s="14"/>
      <c r="E5" s="127"/>
      <c r="F5" s="14"/>
      <c r="H5" s="14"/>
      <c r="N5" s="37">
        <v>20000</v>
      </c>
    </row>
    <row r="6" spans="1:14" ht="24.75" hidden="1" customHeight="1" x14ac:dyDescent="0.25">
      <c r="B6" s="14"/>
      <c r="C6" s="14"/>
      <c r="D6" s="14"/>
      <c r="E6" s="127"/>
      <c r="F6" s="14"/>
      <c r="G6" s="14"/>
      <c r="H6" s="14"/>
      <c r="N6" s="38"/>
    </row>
    <row r="7" spans="1:14" ht="18.75" hidden="1" x14ac:dyDescent="0.25">
      <c r="B7" s="14"/>
      <c r="C7" s="14"/>
      <c r="D7" s="14"/>
      <c r="E7" s="117"/>
      <c r="F7" s="14"/>
      <c r="G7" s="14"/>
      <c r="H7" s="14"/>
    </row>
    <row r="8" spans="1:14" ht="21" hidden="1" x14ac:dyDescent="0.25">
      <c r="A8" s="14"/>
      <c r="B8" s="14"/>
      <c r="C8" s="14"/>
      <c r="D8" s="14"/>
      <c r="E8" s="132"/>
      <c r="F8" s="14"/>
      <c r="G8" s="14"/>
      <c r="H8" s="14"/>
      <c r="I8" s="38">
        <f>D20+1</f>
        <v>2</v>
      </c>
      <c r="J8" s="14"/>
      <c r="K8" s="14"/>
    </row>
    <row r="9" spans="1:14" ht="15.75" hidden="1" x14ac:dyDescent="0.25">
      <c r="A9" s="14"/>
      <c r="B9" s="14"/>
      <c r="C9" s="14"/>
      <c r="D9" s="136"/>
      <c r="E9" s="136"/>
      <c r="F9" s="136"/>
      <c r="G9" s="14"/>
      <c r="H9" s="14"/>
      <c r="I9" s="38"/>
      <c r="J9" s="14"/>
      <c r="K9" s="14"/>
    </row>
    <row r="10" spans="1:14" ht="15.75" hidden="1" x14ac:dyDescent="0.25">
      <c r="A10" s="14"/>
      <c r="B10" s="14"/>
      <c r="C10" s="14"/>
      <c r="D10" s="137"/>
      <c r="E10" s="137"/>
      <c r="F10" s="137"/>
      <c r="G10" s="14"/>
      <c r="H10" s="14"/>
      <c r="I10" s="14"/>
      <c r="J10" s="14"/>
      <c r="K10" s="14"/>
    </row>
    <row r="11" spans="1:14" ht="15.75" hidden="1" x14ac:dyDescent="0.25">
      <c r="A11" s="14"/>
      <c r="B11" s="14"/>
      <c r="C11" s="14"/>
      <c r="D11" s="41"/>
      <c r="E11" s="41"/>
      <c r="F11" s="41"/>
      <c r="G11" s="14"/>
      <c r="H11" s="14"/>
      <c r="I11" s="14"/>
      <c r="J11" s="14"/>
      <c r="K11" s="14"/>
    </row>
    <row r="12" spans="1:14" ht="15.75" hidden="1" x14ac:dyDescent="0.25">
      <c r="A12" s="14"/>
      <c r="B12" s="14"/>
      <c r="C12" s="14"/>
      <c r="D12" s="137"/>
      <c r="E12" s="137"/>
      <c r="F12" s="137"/>
      <c r="G12" s="14"/>
      <c r="H12" s="14"/>
      <c r="I12" s="14"/>
      <c r="J12" s="14"/>
      <c r="K12" s="14"/>
    </row>
    <row r="13" spans="1:14" hidden="1" x14ac:dyDescent="0.25">
      <c r="A13" s="14"/>
      <c r="B13" s="14"/>
      <c r="C13" s="14"/>
      <c r="D13" s="50"/>
      <c r="E13" s="50"/>
      <c r="F13" s="50"/>
      <c r="G13" s="14"/>
      <c r="H13" s="14"/>
      <c r="I13" s="14"/>
      <c r="J13" s="14"/>
      <c r="K13" s="14"/>
    </row>
    <row r="14" spans="1:14" ht="15.75" hidden="1" x14ac:dyDescent="0.25">
      <c r="A14" s="14"/>
      <c r="B14" s="14"/>
      <c r="C14" s="14"/>
      <c r="D14" s="20"/>
      <c r="E14" s="44"/>
      <c r="F14" s="20"/>
      <c r="G14" s="20"/>
      <c r="H14" s="20"/>
      <c r="I14" s="20"/>
      <c r="J14" s="14"/>
      <c r="K14" s="14"/>
    </row>
    <row r="15" spans="1:14" ht="15" customHeight="1" x14ac:dyDescent="0.25">
      <c r="A15" s="14"/>
      <c r="B15" s="14"/>
      <c r="C15" s="34"/>
      <c r="D15" s="45"/>
      <c r="E15" s="45"/>
      <c r="F15" s="45"/>
      <c r="G15" s="45"/>
      <c r="H15" s="14"/>
      <c r="I15" s="14"/>
      <c r="J15" s="14"/>
      <c r="K15" s="14"/>
    </row>
    <row r="16" spans="1:14" ht="20.25" customHeight="1" x14ac:dyDescent="0.25">
      <c r="A16" s="14"/>
      <c r="B16" s="14"/>
      <c r="C16" s="45"/>
      <c r="D16" s="323" t="s">
        <v>35</v>
      </c>
      <c r="E16" s="200" t="s">
        <v>6</v>
      </c>
      <c r="F16" s="325" t="s">
        <v>36</v>
      </c>
      <c r="G16" s="45"/>
      <c r="H16" s="14"/>
      <c r="I16" s="14"/>
      <c r="J16" s="14"/>
      <c r="K16" s="14"/>
    </row>
    <row r="17" spans="1:10" ht="20.25" customHeight="1" x14ac:dyDescent="0.25">
      <c r="A17" s="14"/>
      <c r="B17" s="14"/>
      <c r="C17" s="41"/>
      <c r="D17" s="324"/>
      <c r="E17" s="201"/>
      <c r="F17" s="326"/>
      <c r="G17" s="41"/>
      <c r="H17" s="14"/>
      <c r="I17" s="14"/>
      <c r="J17" s="14"/>
    </row>
    <row r="18" spans="1:10" ht="19.5" thickBot="1" x14ac:dyDescent="0.35">
      <c r="A18" s="14"/>
      <c r="B18" s="14"/>
      <c r="C18" s="14"/>
      <c r="E18" s="14"/>
      <c r="G18" s="46"/>
      <c r="H18" s="14"/>
      <c r="I18" s="14"/>
      <c r="J18" s="14"/>
    </row>
    <row r="19" spans="1:10" ht="27.75" customHeight="1" thickTop="1" x14ac:dyDescent="0.25">
      <c r="A19" s="14"/>
      <c r="B19" s="14"/>
      <c r="C19" s="14"/>
      <c r="D19" s="172" t="s">
        <v>24</v>
      </c>
      <c r="E19" s="321" t="s">
        <v>32</v>
      </c>
      <c r="F19" s="173" t="s">
        <v>224</v>
      </c>
      <c r="G19" s="14"/>
      <c r="H19" s="14"/>
      <c r="I19" s="14"/>
      <c r="J19" s="14"/>
    </row>
    <row r="20" spans="1:10" ht="28.5" customHeight="1" thickBot="1" x14ac:dyDescent="0.3">
      <c r="A20" s="14"/>
      <c r="B20" s="14"/>
      <c r="C20" s="14"/>
      <c r="D20" s="166">
        <v>1</v>
      </c>
      <c r="E20" s="322"/>
      <c r="F20" s="167">
        <v>1</v>
      </c>
      <c r="G20" s="14"/>
      <c r="H20" s="14"/>
      <c r="I20" s="14"/>
      <c r="J20" s="14"/>
    </row>
    <row r="21" spans="1:10" ht="22.5" customHeight="1" thickTop="1" x14ac:dyDescent="0.25">
      <c r="A21" s="14"/>
      <c r="B21" s="14"/>
      <c r="C21" s="14"/>
      <c r="D21" s="14"/>
      <c r="E21" s="121" t="s">
        <v>7</v>
      </c>
      <c r="F21" s="14"/>
      <c r="G21" s="14"/>
      <c r="H21" s="14"/>
      <c r="I21" s="14"/>
      <c r="J21" s="14"/>
    </row>
    <row r="22" spans="1:10" ht="18.75" x14ac:dyDescent="0.3">
      <c r="A22" s="14"/>
      <c r="B22" s="14"/>
      <c r="C22" s="14"/>
      <c r="D22" s="14"/>
      <c r="E22" s="39">
        <f>D20*20000+N5</f>
        <v>40000</v>
      </c>
      <c r="F22" s="14"/>
      <c r="G22" s="14"/>
      <c r="H22" s="14"/>
      <c r="I22" s="14"/>
      <c r="J22" s="14"/>
    </row>
    <row r="23" spans="1:10" ht="19.5" customHeight="1" x14ac:dyDescent="0.25">
      <c r="A23" s="14"/>
      <c r="B23" s="14"/>
      <c r="C23" s="14"/>
      <c r="D23" s="14"/>
      <c r="E23" s="120" t="s">
        <v>8</v>
      </c>
      <c r="F23" s="14"/>
      <c r="G23" s="14"/>
      <c r="H23" s="14"/>
      <c r="I23" s="14"/>
      <c r="J23" s="14"/>
    </row>
    <row r="24" spans="1:10" ht="20.25" customHeight="1" x14ac:dyDescent="0.3">
      <c r="A24" s="14"/>
      <c r="B24" s="14"/>
      <c r="C24" s="14"/>
      <c r="D24" s="14"/>
      <c r="E24" s="40">
        <f>F20*I8*15000</f>
        <v>30000</v>
      </c>
      <c r="F24" s="14"/>
      <c r="G24" s="14"/>
      <c r="H24" s="14"/>
      <c r="I24" s="14"/>
      <c r="J24" s="14"/>
    </row>
    <row r="25" spans="1:10" ht="18.75" customHeight="1" x14ac:dyDescent="0.25">
      <c r="A25" s="14"/>
      <c r="B25" s="14"/>
      <c r="C25" s="14"/>
      <c r="D25" s="14"/>
      <c r="E25" s="120" t="s">
        <v>31</v>
      </c>
      <c r="F25" s="14"/>
      <c r="G25" s="14"/>
      <c r="H25" s="14"/>
      <c r="I25" s="14"/>
      <c r="J25" s="14"/>
    </row>
    <row r="26" spans="1:10" ht="18.75" x14ac:dyDescent="0.3">
      <c r="A26" s="14"/>
      <c r="B26" s="14"/>
      <c r="C26" s="14"/>
      <c r="D26" s="20"/>
      <c r="E26" s="39">
        <f>E22+E24</f>
        <v>70000</v>
      </c>
      <c r="F26" s="20"/>
      <c r="G26" s="20"/>
      <c r="H26" s="20"/>
      <c r="I26" s="14"/>
      <c r="J26" s="14"/>
    </row>
    <row r="27" spans="1:10" ht="26.25" x14ac:dyDescent="0.25">
      <c r="C27" s="34"/>
      <c r="D27" s="50"/>
      <c r="E27" s="50"/>
      <c r="F27" s="50"/>
      <c r="G27" s="50"/>
    </row>
    <row r="28" spans="1:10" x14ac:dyDescent="0.25">
      <c r="C28" s="50"/>
      <c r="D28" s="50"/>
      <c r="E28" s="50"/>
      <c r="F28" s="50"/>
      <c r="G28" s="50"/>
    </row>
    <row r="29" spans="1:10" ht="15.75" x14ac:dyDescent="0.25">
      <c r="C29" s="14"/>
      <c r="D29" s="14"/>
      <c r="E29" s="121"/>
      <c r="F29" s="14"/>
      <c r="G29" s="14"/>
    </row>
    <row r="30" spans="1:10" ht="18.75" x14ac:dyDescent="0.3">
      <c r="C30" s="14"/>
      <c r="D30" s="14"/>
      <c r="E30" s="48"/>
      <c r="F30" s="14"/>
      <c r="G30" s="14"/>
    </row>
    <row r="31" spans="1:10" ht="21" x14ac:dyDescent="0.35">
      <c r="C31" s="14"/>
      <c r="D31" s="14"/>
      <c r="E31" s="49"/>
      <c r="F31" s="14"/>
      <c r="G31" s="14"/>
    </row>
    <row r="32" spans="1:10" ht="18.75" x14ac:dyDescent="0.3">
      <c r="C32" s="14"/>
      <c r="D32" s="14"/>
      <c r="E32" s="22"/>
      <c r="F32" s="14"/>
      <c r="G32" s="14"/>
    </row>
    <row r="33" spans="1:10" ht="18.75" x14ac:dyDescent="0.3">
      <c r="C33" s="14"/>
      <c r="D33" s="14"/>
      <c r="E33" s="39"/>
      <c r="F33" s="14"/>
      <c r="G33" s="14"/>
    </row>
    <row r="34" spans="1:10" x14ac:dyDescent="0.25">
      <c r="C34" s="14"/>
      <c r="D34" s="14"/>
      <c r="E34" s="14"/>
      <c r="F34" s="14"/>
      <c r="G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20"/>
      <c r="C36" s="20"/>
      <c r="D36" s="20"/>
      <c r="E36" s="20"/>
      <c r="F36" s="20"/>
      <c r="G36" s="20"/>
      <c r="H36" s="20"/>
      <c r="I36" s="20"/>
      <c r="J36" s="14"/>
    </row>
    <row r="37" spans="1:10" ht="15.75" x14ac:dyDescent="0.25">
      <c r="A37" s="14"/>
      <c r="B37" s="199"/>
      <c r="C37" s="199"/>
      <c r="D37" s="199"/>
      <c r="E37" s="199"/>
      <c r="F37" s="199"/>
      <c r="G37" s="199"/>
      <c r="H37" s="199"/>
      <c r="I37" s="41"/>
      <c r="J37" s="14"/>
    </row>
    <row r="38" spans="1:10" x14ac:dyDescent="0.25">
      <c r="A38" s="14"/>
      <c r="B38" s="195"/>
      <c r="C38" s="195"/>
      <c r="D38" s="195"/>
      <c r="E38" s="195"/>
      <c r="F38" s="195"/>
      <c r="G38" s="195"/>
      <c r="H38" s="195"/>
      <c r="I38" s="42"/>
      <c r="J38" s="14"/>
    </row>
    <row r="39" spans="1:10" x14ac:dyDescent="0.25">
      <c r="A39" s="14"/>
      <c r="B39" s="196"/>
      <c r="C39" s="196"/>
      <c r="D39" s="196"/>
      <c r="E39" s="196"/>
      <c r="F39" s="196"/>
      <c r="G39" s="196"/>
      <c r="H39" s="196"/>
      <c r="I39" s="43"/>
      <c r="J39" s="14"/>
    </row>
    <row r="40" spans="1:10" x14ac:dyDescent="0.25">
      <c r="A40" s="14"/>
      <c r="B40" s="42"/>
      <c r="C40" s="42"/>
      <c r="D40" s="42"/>
      <c r="E40" s="42"/>
      <c r="F40" s="42"/>
      <c r="G40" s="42"/>
      <c r="H40" s="42"/>
      <c r="I40" s="42"/>
      <c r="J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</sheetData>
  <sheetProtection password="EE61" sheet="1" objects="1" scenarios="1"/>
  <mergeCells count="7">
    <mergeCell ref="E19:E20"/>
    <mergeCell ref="B37:H37"/>
    <mergeCell ref="B38:H38"/>
    <mergeCell ref="B39:H39"/>
    <mergeCell ref="D16:D17"/>
    <mergeCell ref="E16:E17"/>
    <mergeCell ref="F16:F17"/>
  </mergeCells>
  <hyperlinks>
    <hyperlink ref="D16" location="'صفحه اصلی'!A1" display="صفحه اصلی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1"/>
  <sheetViews>
    <sheetView showGridLines="0" showRowColHeaders="0" rightToLeft="1" zoomScaleNormal="100" workbookViewId="0">
      <selection activeCell="D2" sqref="D2"/>
    </sheetView>
  </sheetViews>
  <sheetFormatPr defaultColWidth="9.140625" defaultRowHeight="15" x14ac:dyDescent="0.25"/>
  <cols>
    <col min="1" max="1" width="6.140625" style="18" customWidth="1"/>
    <col min="2" max="2" width="2.5703125" style="18" customWidth="1"/>
    <col min="3" max="3" width="2.85546875" style="18" customWidth="1"/>
    <col min="4" max="4" width="14.7109375" style="18" customWidth="1"/>
    <col min="5" max="5" width="50.42578125" style="18" customWidth="1"/>
    <col min="6" max="6" width="14.5703125" style="18" customWidth="1"/>
    <col min="7" max="7" width="23.28515625" style="18" customWidth="1"/>
    <col min="8" max="12" width="9.140625" style="18"/>
    <col min="13" max="13" width="16" style="18" customWidth="1"/>
    <col min="14" max="14" width="18.5703125" style="18" customWidth="1"/>
    <col min="15" max="15" width="31.28515625" style="18" customWidth="1"/>
    <col min="16" max="16384" width="9.140625" style="18"/>
  </cols>
  <sheetData>
    <row r="1" spans="2:7" ht="30" customHeight="1" x14ac:dyDescent="0.25"/>
    <row r="2" spans="2:7" ht="40.5" customHeight="1" x14ac:dyDescent="0.25">
      <c r="B2" s="20"/>
      <c r="C2" s="34"/>
      <c r="D2" s="74" t="s">
        <v>35</v>
      </c>
      <c r="E2" s="146" t="s">
        <v>83</v>
      </c>
      <c r="F2" s="75" t="s">
        <v>36</v>
      </c>
      <c r="G2" s="34"/>
    </row>
    <row r="3" spans="2:7" ht="15" customHeight="1" x14ac:dyDescent="0.25">
      <c r="B3" s="20"/>
      <c r="C3" s="34"/>
      <c r="D3" s="76"/>
      <c r="E3" s="77"/>
      <c r="F3" s="78"/>
      <c r="G3" s="34"/>
    </row>
    <row r="4" spans="2:7" ht="30.75" customHeight="1" x14ac:dyDescent="0.25">
      <c r="B4" s="20"/>
      <c r="C4" s="34"/>
      <c r="D4" s="34"/>
      <c r="E4" s="62" t="s">
        <v>29</v>
      </c>
      <c r="F4" s="34"/>
      <c r="G4" s="34"/>
    </row>
    <row r="5" spans="2:7" ht="27" customHeight="1" thickBot="1" x14ac:dyDescent="0.3">
      <c r="B5" s="20"/>
      <c r="C5" s="20"/>
      <c r="D5" s="20"/>
      <c r="E5" s="169">
        <v>0</v>
      </c>
      <c r="F5" s="20"/>
      <c r="G5" s="20"/>
    </row>
    <row r="6" spans="2:7" ht="27.75" customHeight="1" thickTop="1" thickBot="1" x14ac:dyDescent="0.3">
      <c r="B6" s="20"/>
      <c r="C6" s="20"/>
      <c r="D6" s="20"/>
      <c r="E6" s="147" t="s">
        <v>32</v>
      </c>
      <c r="F6" s="20"/>
      <c r="G6" s="20"/>
    </row>
    <row r="7" spans="2:7" ht="16.5" thickTop="1" x14ac:dyDescent="0.25">
      <c r="B7" s="20"/>
      <c r="C7" s="20"/>
      <c r="D7" s="66"/>
      <c r="E7" s="65" t="s">
        <v>81</v>
      </c>
      <c r="F7" s="20"/>
      <c r="G7" s="20"/>
    </row>
    <row r="8" spans="2:7" ht="16.5" customHeight="1" x14ac:dyDescent="0.25">
      <c r="B8" s="20"/>
      <c r="D8" s="63"/>
      <c r="E8" s="52">
        <f>SUM(D70:D74)</f>
        <v>0</v>
      </c>
      <c r="G8" s="59"/>
    </row>
    <row r="9" spans="2:7" ht="18.75" x14ac:dyDescent="0.25">
      <c r="B9" s="20"/>
      <c r="D9" s="64"/>
      <c r="E9" s="70" t="s">
        <v>82</v>
      </c>
      <c r="G9" s="58"/>
    </row>
    <row r="10" spans="2:7" ht="15.75" x14ac:dyDescent="0.25">
      <c r="B10" s="20"/>
      <c r="C10" s="20"/>
      <c r="D10" s="66"/>
      <c r="E10" s="52">
        <f>SUM(E70:E74)</f>
        <v>0</v>
      </c>
      <c r="F10" s="20"/>
      <c r="G10" s="20"/>
    </row>
    <row r="11" spans="2:7" ht="15.75" x14ac:dyDescent="0.25">
      <c r="B11" s="20"/>
      <c r="C11" s="20"/>
      <c r="D11" s="66"/>
      <c r="E11" s="70" t="s">
        <v>9</v>
      </c>
      <c r="F11" s="20"/>
      <c r="G11" s="20"/>
    </row>
    <row r="12" spans="2:7" ht="14.25" customHeight="1" x14ac:dyDescent="0.25">
      <c r="B12" s="20"/>
      <c r="D12" s="63"/>
      <c r="E12" s="52">
        <f>SUM(F70:F74)</f>
        <v>0</v>
      </c>
      <c r="G12" s="59"/>
    </row>
    <row r="13" spans="2:7" ht="18.75" x14ac:dyDescent="0.25">
      <c r="B13" s="20"/>
      <c r="D13" s="64"/>
      <c r="E13" s="70" t="s">
        <v>13</v>
      </c>
      <c r="G13" s="58"/>
    </row>
    <row r="14" spans="2:7" ht="14.25" customHeight="1" x14ac:dyDescent="0.25">
      <c r="B14" s="20"/>
      <c r="C14" s="20"/>
      <c r="D14" s="66"/>
      <c r="E14" s="52">
        <f>SUM(G65:G69)</f>
        <v>0</v>
      </c>
      <c r="F14" s="20"/>
      <c r="G14" s="20"/>
    </row>
    <row r="15" spans="2:7" ht="15.75" x14ac:dyDescent="0.25">
      <c r="B15" s="20"/>
      <c r="C15" s="20"/>
      <c r="D15" s="66"/>
      <c r="E15" s="70" t="s">
        <v>14</v>
      </c>
      <c r="F15" s="20"/>
      <c r="G15" s="20"/>
    </row>
    <row r="16" spans="2:7" ht="15.75" x14ac:dyDescent="0.25">
      <c r="B16" s="20"/>
      <c r="C16" s="20"/>
      <c r="D16" s="66"/>
      <c r="E16" s="52">
        <f>SUM(H57:H61)</f>
        <v>0</v>
      </c>
      <c r="F16" s="20"/>
      <c r="G16" s="20"/>
    </row>
    <row r="17" spans="1:10" ht="18.75" x14ac:dyDescent="0.3">
      <c r="B17" s="20"/>
      <c r="D17" s="67"/>
      <c r="E17" s="70" t="s">
        <v>9</v>
      </c>
      <c r="G17" s="60"/>
    </row>
    <row r="18" spans="1:10" ht="18.75" x14ac:dyDescent="0.3">
      <c r="B18" s="20"/>
      <c r="D18" s="68"/>
      <c r="E18" s="52">
        <f>SUM(I57:I61)</f>
        <v>0</v>
      </c>
      <c r="G18" s="61"/>
    </row>
    <row r="19" spans="1:10" ht="18.75" x14ac:dyDescent="0.3">
      <c r="C19" s="54"/>
      <c r="D19" s="69"/>
      <c r="E19" s="71" t="s">
        <v>25</v>
      </c>
    </row>
    <row r="20" spans="1:10" ht="15.75" x14ac:dyDescent="0.25">
      <c r="A20" s="20"/>
      <c r="D20" s="69"/>
      <c r="E20" s="72" t="s">
        <v>26</v>
      </c>
      <c r="I20" s="20"/>
    </row>
    <row r="21" spans="1:10" ht="15" customHeight="1" x14ac:dyDescent="0.25">
      <c r="D21" s="69"/>
      <c r="E21" s="73">
        <f>E5*10%</f>
        <v>0</v>
      </c>
    </row>
    <row r="22" spans="1:10" ht="15" customHeight="1" x14ac:dyDescent="0.25">
      <c r="D22" s="69"/>
      <c r="E22" s="72" t="s">
        <v>27</v>
      </c>
    </row>
    <row r="23" spans="1:10" ht="15.75" x14ac:dyDescent="0.25">
      <c r="D23" s="69"/>
      <c r="E23" s="73">
        <f>E5*5%</f>
        <v>0</v>
      </c>
    </row>
    <row r="24" spans="1:10" ht="18.75" x14ac:dyDescent="0.25">
      <c r="E24" s="79"/>
    </row>
    <row r="25" spans="1:10" x14ac:dyDescent="0.25">
      <c r="E25" s="80"/>
    </row>
    <row r="26" spans="1:10" x14ac:dyDescent="0.25">
      <c r="E26" s="80"/>
    </row>
    <row r="27" spans="1:10" x14ac:dyDescent="0.25">
      <c r="E27" s="80"/>
    </row>
    <row r="28" spans="1:10" x14ac:dyDescent="0.25">
      <c r="E28" s="80"/>
    </row>
    <row r="29" spans="1:10" x14ac:dyDescent="0.25">
      <c r="E29" s="80"/>
    </row>
    <row r="31" spans="1:10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</row>
    <row r="34" spans="1:10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</row>
    <row r="38" spans="1:10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</row>
    <row r="40" spans="1:10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</row>
    <row r="41" spans="1:10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5.7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</row>
    <row r="44" spans="1:10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</row>
    <row r="45" spans="1:10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53" spans="2:10" hidden="1" x14ac:dyDescent="0.25"/>
    <row r="54" spans="2:10" hidden="1" x14ac:dyDescent="0.25"/>
    <row r="55" spans="2:10" hidden="1" x14ac:dyDescent="0.25">
      <c r="B55" s="55"/>
      <c r="C55" s="55"/>
      <c r="D55" s="55"/>
      <c r="E55" s="55"/>
      <c r="F55" s="55"/>
      <c r="G55" s="55"/>
      <c r="H55" s="55"/>
      <c r="I55" s="55"/>
      <c r="J55" s="55"/>
    </row>
    <row r="56" spans="2:10" hidden="1" x14ac:dyDescent="0.25">
      <c r="B56" s="55"/>
      <c r="C56" s="55"/>
      <c r="D56" s="55"/>
      <c r="E56" s="55"/>
      <c r="F56" s="55"/>
      <c r="G56" s="55"/>
      <c r="H56" s="56" t="s">
        <v>14</v>
      </c>
      <c r="I56" s="56" t="s">
        <v>9</v>
      </c>
      <c r="J56" s="55"/>
    </row>
    <row r="57" spans="2:10" hidden="1" x14ac:dyDescent="0.25">
      <c r="B57" s="55"/>
      <c r="C57" s="55"/>
      <c r="D57" s="55"/>
      <c r="E57" s="55"/>
      <c r="F57" s="55"/>
      <c r="G57" s="55"/>
      <c r="H57" s="56">
        <f>F70*2%</f>
        <v>0</v>
      </c>
      <c r="I57" s="56">
        <f>F70*5%</f>
        <v>0</v>
      </c>
      <c r="J57" s="55"/>
    </row>
    <row r="58" spans="2:10" hidden="1" x14ac:dyDescent="0.25">
      <c r="B58" s="55"/>
      <c r="C58" s="55"/>
      <c r="D58" s="55"/>
      <c r="E58" s="55"/>
      <c r="F58" s="55"/>
      <c r="G58" s="55"/>
      <c r="H58" s="56">
        <f>F71*2%</f>
        <v>0</v>
      </c>
      <c r="I58" s="56">
        <f>F71*5%</f>
        <v>0</v>
      </c>
      <c r="J58" s="55"/>
    </row>
    <row r="59" spans="2:10" hidden="1" x14ac:dyDescent="0.25">
      <c r="B59" s="55"/>
      <c r="C59" s="55"/>
      <c r="D59" s="55"/>
      <c r="E59" s="55"/>
      <c r="F59" s="55"/>
      <c r="G59" s="55"/>
      <c r="H59" s="56">
        <f>F72*2%</f>
        <v>0</v>
      </c>
      <c r="I59" s="57">
        <f>F72*5%</f>
        <v>0</v>
      </c>
      <c r="J59" s="55"/>
    </row>
    <row r="60" spans="2:10" hidden="1" x14ac:dyDescent="0.25">
      <c r="B60" s="55"/>
      <c r="C60" s="55"/>
      <c r="D60" s="55"/>
      <c r="E60" s="55"/>
      <c r="F60" s="55"/>
      <c r="G60" s="55"/>
      <c r="H60" s="56">
        <f>F73*2%</f>
        <v>0</v>
      </c>
      <c r="I60" s="56">
        <f>F73*5%</f>
        <v>0</v>
      </c>
      <c r="J60" s="55"/>
    </row>
    <row r="61" spans="2:10" hidden="1" x14ac:dyDescent="0.25">
      <c r="B61" s="55"/>
      <c r="C61" s="55"/>
      <c r="D61" s="55"/>
      <c r="E61" s="55"/>
      <c r="F61" s="55"/>
      <c r="G61" s="55"/>
      <c r="H61" s="56">
        <f>F74*2%</f>
        <v>0</v>
      </c>
      <c r="I61" s="56">
        <f>F74*5%</f>
        <v>0</v>
      </c>
      <c r="J61" s="55"/>
    </row>
    <row r="62" spans="2:10" hidden="1" x14ac:dyDescent="0.25">
      <c r="B62" s="55"/>
      <c r="C62" s="55"/>
      <c r="D62" s="55"/>
      <c r="E62" s="55"/>
      <c r="F62" s="55"/>
      <c r="G62" s="55"/>
      <c r="H62" s="55"/>
      <c r="I62" s="55"/>
      <c r="J62" s="55"/>
    </row>
    <row r="63" spans="2:10" hidden="1" x14ac:dyDescent="0.25">
      <c r="B63" s="55"/>
      <c r="C63" s="55"/>
      <c r="D63" s="55"/>
      <c r="E63" s="55"/>
      <c r="F63" s="55"/>
      <c r="G63" s="55"/>
      <c r="H63" s="55"/>
      <c r="I63" s="55"/>
      <c r="J63" s="55"/>
    </row>
    <row r="64" spans="2:10" hidden="1" x14ac:dyDescent="0.25">
      <c r="B64" s="55"/>
      <c r="C64" s="55"/>
      <c r="D64" s="55"/>
      <c r="E64" s="55"/>
      <c r="F64" s="55"/>
      <c r="G64" s="56" t="s">
        <v>13</v>
      </c>
      <c r="H64" s="55"/>
      <c r="I64" s="55"/>
      <c r="J64" s="55"/>
    </row>
    <row r="65" spans="2:10" hidden="1" x14ac:dyDescent="0.25">
      <c r="B65" s="55"/>
      <c r="C65" s="55"/>
      <c r="D65" s="55"/>
      <c r="E65" s="55"/>
      <c r="F65" s="55"/>
      <c r="G65" s="56">
        <f>F70*3%</f>
        <v>0</v>
      </c>
      <c r="H65" s="55"/>
      <c r="I65" s="55"/>
      <c r="J65" s="55"/>
    </row>
    <row r="66" spans="2:10" hidden="1" x14ac:dyDescent="0.25">
      <c r="B66" s="55"/>
      <c r="C66" s="55"/>
      <c r="D66" s="55"/>
      <c r="E66" s="55"/>
      <c r="F66" s="55"/>
      <c r="G66" s="56">
        <f>F71*3%</f>
        <v>0</v>
      </c>
      <c r="H66" s="55"/>
      <c r="I66" s="55"/>
      <c r="J66" s="55"/>
    </row>
    <row r="67" spans="2:10" hidden="1" x14ac:dyDescent="0.25">
      <c r="B67" s="55"/>
      <c r="C67" s="55"/>
      <c r="D67" s="55"/>
      <c r="E67" s="55"/>
      <c r="F67" s="55"/>
      <c r="G67" s="57">
        <f>F72*3%</f>
        <v>0</v>
      </c>
      <c r="H67" s="55"/>
      <c r="I67" s="55"/>
      <c r="J67" s="55"/>
    </row>
    <row r="68" spans="2:10" hidden="1" x14ac:dyDescent="0.25">
      <c r="B68" s="55"/>
      <c r="C68" s="55"/>
      <c r="D68" s="55"/>
      <c r="E68" s="55"/>
      <c r="F68" s="55"/>
      <c r="G68" s="56">
        <f>F73*3%</f>
        <v>0</v>
      </c>
      <c r="H68" s="55"/>
      <c r="I68" s="55"/>
      <c r="J68" s="55"/>
    </row>
    <row r="69" spans="2:10" hidden="1" x14ac:dyDescent="0.25">
      <c r="B69" s="55"/>
      <c r="C69" s="56" t="s">
        <v>10</v>
      </c>
      <c r="D69" s="56" t="s">
        <v>11</v>
      </c>
      <c r="E69" s="56" t="s">
        <v>12</v>
      </c>
      <c r="F69" s="56" t="s">
        <v>9</v>
      </c>
      <c r="G69" s="56">
        <f>F74*3%</f>
        <v>0</v>
      </c>
      <c r="H69" s="55"/>
      <c r="I69" s="55"/>
      <c r="J69" s="55"/>
    </row>
    <row r="70" spans="2:10" hidden="1" x14ac:dyDescent="0.25">
      <c r="B70" s="55"/>
      <c r="C70" s="56" t="s">
        <v>15</v>
      </c>
      <c r="D70" s="56">
        <f>F70*60%</f>
        <v>0</v>
      </c>
      <c r="E70" s="56">
        <f>F70*40%</f>
        <v>0</v>
      </c>
      <c r="F70" s="56">
        <f>IF(E5&lt;=500000000,E5*8%)</f>
        <v>0</v>
      </c>
      <c r="G70" s="55"/>
      <c r="H70" s="55"/>
      <c r="I70" s="55"/>
      <c r="J70" s="55"/>
    </row>
    <row r="71" spans="2:10" hidden="1" x14ac:dyDescent="0.25">
      <c r="B71" s="55"/>
      <c r="C71" s="56" t="s">
        <v>16</v>
      </c>
      <c r="D71" s="56">
        <f>F71*60%</f>
        <v>0</v>
      </c>
      <c r="E71" s="56">
        <f>F71*40%</f>
        <v>0</v>
      </c>
      <c r="F71" s="56" t="b">
        <f>IF(AND(E5&gt;500000000,E5&lt;=2000000000),E5*7%-35000000+40000000)</f>
        <v>0</v>
      </c>
      <c r="G71" s="55"/>
      <c r="H71" s="55"/>
      <c r="I71" s="55"/>
      <c r="J71" s="55"/>
    </row>
    <row r="72" spans="2:10" hidden="1" x14ac:dyDescent="0.25">
      <c r="B72" s="55"/>
      <c r="C72" s="56" t="s">
        <v>17</v>
      </c>
      <c r="D72" s="57">
        <f>F72*60%</f>
        <v>0</v>
      </c>
      <c r="E72" s="57">
        <f>F72*40%</f>
        <v>0</v>
      </c>
      <c r="F72" s="56" t="b">
        <f>IF(AND(E5&gt;2000000000,E5&lt;=10000000000),E5*5%-100000000+145000000)</f>
        <v>0</v>
      </c>
      <c r="G72" s="55"/>
      <c r="H72" s="55"/>
      <c r="I72" s="55"/>
      <c r="J72" s="55"/>
    </row>
    <row r="73" spans="2:10" hidden="1" x14ac:dyDescent="0.25">
      <c r="B73" s="55"/>
      <c r="C73" s="56" t="s">
        <v>18</v>
      </c>
      <c r="D73" s="56">
        <f>F73*60%</f>
        <v>0</v>
      </c>
      <c r="E73" s="56">
        <f>F73*40%</f>
        <v>0</v>
      </c>
      <c r="F73" s="56" t="b">
        <f>IF(AND(E5&gt;10000000000,E5&lt;=30000000000),E5*4%-400000000+545000000)</f>
        <v>0</v>
      </c>
      <c r="G73" s="55"/>
      <c r="H73" s="55"/>
      <c r="I73" s="55"/>
      <c r="J73" s="55"/>
    </row>
    <row r="74" spans="2:10" hidden="1" x14ac:dyDescent="0.25">
      <c r="B74" s="55"/>
      <c r="C74" s="56" t="s">
        <v>19</v>
      </c>
      <c r="D74" s="56">
        <f>F74*60%</f>
        <v>0</v>
      </c>
      <c r="E74" s="56">
        <f>F74*40%</f>
        <v>0</v>
      </c>
      <c r="F74" s="56" t="b">
        <f>IF(E5&gt;30000000000,E5*3%-900000000+1345000000)</f>
        <v>0</v>
      </c>
      <c r="G74" s="55"/>
      <c r="H74" s="55"/>
      <c r="I74" s="55"/>
      <c r="J74" s="55"/>
    </row>
    <row r="75" spans="2:10" hidden="1" x14ac:dyDescent="0.25">
      <c r="B75" s="55"/>
      <c r="C75" s="55"/>
      <c r="D75" s="55"/>
      <c r="E75" s="55"/>
      <c r="F75" s="55"/>
      <c r="G75" s="55"/>
      <c r="H75" s="55"/>
      <c r="I75" s="55"/>
      <c r="J75" s="55"/>
    </row>
    <row r="76" spans="2:10" hidden="1" x14ac:dyDescent="0.25">
      <c r="B76" s="55"/>
      <c r="C76" s="55"/>
      <c r="D76" s="55"/>
      <c r="E76" s="55"/>
      <c r="F76" s="55"/>
      <c r="G76" s="55"/>
      <c r="H76" s="55"/>
      <c r="I76" s="55"/>
      <c r="J76" s="55"/>
    </row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</sheetData>
  <sheetProtection password="EE61" sheet="1" objects="1" scenarios="1"/>
  <hyperlinks>
    <hyperlink ref="D2" location="'صفحه اصلی'!A1" display="صفحه اصلی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"/>
  <sheetViews>
    <sheetView showGridLines="0" showRowColHeaders="0" rightToLeft="1" workbookViewId="0">
      <selection activeCell="D2" sqref="D2:D3"/>
    </sheetView>
  </sheetViews>
  <sheetFormatPr defaultColWidth="9.140625" defaultRowHeight="15" x14ac:dyDescent="0.25"/>
  <cols>
    <col min="1" max="1" width="4.42578125" style="11" customWidth="1"/>
    <col min="2" max="2" width="5.28515625" style="11" customWidth="1"/>
    <col min="3" max="3" width="2" style="11" customWidth="1"/>
    <col min="4" max="4" width="14.7109375" style="11" customWidth="1"/>
    <col min="5" max="5" width="35.7109375" style="11" customWidth="1"/>
    <col min="6" max="6" width="14.7109375" style="11" customWidth="1"/>
    <col min="7" max="7" width="5.28515625" style="11" customWidth="1"/>
    <col min="8" max="8" width="9.140625" style="11"/>
    <col min="9" max="9" width="0" style="11" hidden="1" customWidth="1"/>
    <col min="10" max="11" width="9.140625" style="11"/>
    <col min="12" max="12" width="19.28515625" style="11" customWidth="1"/>
    <col min="13" max="13" width="9.140625" style="11"/>
    <col min="14" max="14" width="25.28515625" style="11" hidden="1" customWidth="1"/>
    <col min="15" max="15" width="9.140625" style="11"/>
    <col min="16" max="16" width="14.28515625" style="11" customWidth="1"/>
    <col min="17" max="17" width="26.7109375" style="11" customWidth="1"/>
    <col min="18" max="16384" width="9.140625" style="11"/>
  </cols>
  <sheetData>
    <row r="1" spans="1:14" ht="30" customHeight="1" x14ac:dyDescent="0.25"/>
    <row r="2" spans="1:14" ht="19.5" customHeight="1" x14ac:dyDescent="0.25">
      <c r="B2" s="14"/>
      <c r="C2" s="34"/>
      <c r="D2" s="204" t="s">
        <v>35</v>
      </c>
      <c r="E2" s="200" t="s">
        <v>23</v>
      </c>
      <c r="F2" s="202" t="s">
        <v>36</v>
      </c>
      <c r="G2" s="34"/>
      <c r="H2" s="14"/>
      <c r="N2" s="18"/>
    </row>
    <row r="3" spans="1:14" ht="20.25" customHeight="1" x14ac:dyDescent="0.25">
      <c r="B3" s="14"/>
      <c r="C3" s="34"/>
      <c r="D3" s="205"/>
      <c r="E3" s="201"/>
      <c r="F3" s="203"/>
      <c r="G3" s="34"/>
      <c r="H3" s="14"/>
      <c r="N3" s="35">
        <f>IF(E7&lt;=200000000,E7*2.5%)</f>
        <v>0</v>
      </c>
    </row>
    <row r="4" spans="1:14" ht="20.25" customHeight="1" x14ac:dyDescent="0.25">
      <c r="B4" s="14"/>
      <c r="C4" s="34"/>
      <c r="D4" s="34"/>
      <c r="E4" s="34"/>
      <c r="F4" s="34"/>
      <c r="G4" s="34"/>
      <c r="H4" s="14"/>
      <c r="N4" s="36" t="b">
        <f>IF(E7&gt;200000000,E7*3.5%-7000000+5000000)</f>
        <v>0</v>
      </c>
    </row>
    <row r="5" spans="1:14" ht="15" customHeight="1" x14ac:dyDescent="0.25">
      <c r="B5" s="14"/>
      <c r="E5" s="197" t="s">
        <v>33</v>
      </c>
      <c r="H5" s="14"/>
      <c r="N5" s="37">
        <v>20000</v>
      </c>
    </row>
    <row r="6" spans="1:14" ht="15" customHeight="1" x14ac:dyDescent="0.25">
      <c r="B6" s="14"/>
      <c r="C6" s="14"/>
      <c r="D6" s="14"/>
      <c r="E6" s="198"/>
      <c r="F6" s="14"/>
      <c r="G6" s="14"/>
      <c r="H6" s="14"/>
      <c r="N6" s="38"/>
    </row>
    <row r="7" spans="1:14" ht="24" customHeight="1" thickBot="1" x14ac:dyDescent="0.3">
      <c r="B7" s="14"/>
      <c r="C7" s="14"/>
      <c r="D7" s="14"/>
      <c r="E7" s="169">
        <v>0</v>
      </c>
      <c r="F7" s="14"/>
      <c r="G7" s="14"/>
      <c r="H7" s="14"/>
    </row>
    <row r="8" spans="1:14" ht="28.5" customHeight="1" thickTop="1" thickBot="1" x14ac:dyDescent="0.3">
      <c r="A8" s="14"/>
      <c r="B8" s="14"/>
      <c r="C8" s="14"/>
      <c r="D8" s="14"/>
      <c r="E8" s="327" t="s">
        <v>32</v>
      </c>
      <c r="F8" s="14"/>
      <c r="G8" s="14"/>
      <c r="H8" s="14"/>
      <c r="I8" s="38">
        <f>D20+1</f>
        <v>1</v>
      </c>
      <c r="J8" s="14"/>
      <c r="K8" s="14"/>
    </row>
    <row r="9" spans="1:14" ht="26.25" customHeight="1" thickTop="1" x14ac:dyDescent="0.25">
      <c r="A9" s="14"/>
      <c r="B9" s="14"/>
      <c r="C9" s="14"/>
      <c r="D9" s="209" t="s">
        <v>58</v>
      </c>
      <c r="E9" s="210"/>
      <c r="F9" s="209"/>
      <c r="G9" s="14"/>
      <c r="H9" s="14"/>
      <c r="I9" s="38"/>
      <c r="J9" s="14"/>
      <c r="K9" s="14"/>
    </row>
    <row r="10" spans="1:14" ht="15.75" x14ac:dyDescent="0.25">
      <c r="A10" s="14"/>
      <c r="B10" s="14"/>
      <c r="C10" s="14"/>
      <c r="D10" s="208">
        <f>SUM(N3:N4)</f>
        <v>0</v>
      </c>
      <c r="E10" s="208"/>
      <c r="F10" s="208"/>
      <c r="G10" s="14"/>
      <c r="H10" s="14"/>
      <c r="I10" s="14"/>
      <c r="J10" s="14"/>
      <c r="K10" s="14"/>
    </row>
    <row r="11" spans="1:14" ht="15.75" x14ac:dyDescent="0.25">
      <c r="A11" s="14"/>
      <c r="B11" s="14"/>
      <c r="C11" s="14"/>
      <c r="D11" s="207" t="s">
        <v>59</v>
      </c>
      <c r="E11" s="207"/>
      <c r="F11" s="207"/>
      <c r="G11" s="14"/>
      <c r="H11" s="14"/>
      <c r="I11" s="14"/>
      <c r="J11" s="14"/>
      <c r="K11" s="14"/>
    </row>
    <row r="12" spans="1:14" ht="20.25" customHeight="1" x14ac:dyDescent="0.25">
      <c r="A12" s="14"/>
      <c r="B12" s="14"/>
      <c r="C12" s="14"/>
      <c r="D12" s="208">
        <f>E7*4.5%</f>
        <v>0</v>
      </c>
      <c r="E12" s="208"/>
      <c r="F12" s="208"/>
      <c r="G12" s="14"/>
      <c r="H12" s="14"/>
      <c r="I12" s="14"/>
      <c r="J12" s="14"/>
      <c r="K12" s="14"/>
    </row>
    <row r="13" spans="1:14" ht="23.25" customHeight="1" x14ac:dyDescent="0.25">
      <c r="A13" s="14"/>
      <c r="B13" s="14"/>
      <c r="C13" s="14"/>
      <c r="D13" s="206" t="s">
        <v>60</v>
      </c>
      <c r="E13" s="206"/>
      <c r="F13" s="206"/>
      <c r="G13" s="14"/>
      <c r="H13" s="14"/>
      <c r="I13" s="14"/>
      <c r="J13" s="14"/>
      <c r="K13" s="14"/>
    </row>
    <row r="14" spans="1:14" ht="18" customHeight="1" x14ac:dyDescent="0.25">
      <c r="A14" s="14"/>
      <c r="B14" s="14"/>
      <c r="C14" s="14"/>
      <c r="D14" s="20"/>
      <c r="E14" s="44">
        <f>E7*5.5%</f>
        <v>0</v>
      </c>
      <c r="F14" s="20"/>
      <c r="G14" s="20"/>
      <c r="H14" s="20"/>
      <c r="I14" s="20"/>
      <c r="J14" s="14"/>
      <c r="K14" s="14"/>
    </row>
    <row r="15" spans="1:14" ht="169.5" hidden="1" customHeight="1" x14ac:dyDescent="0.25">
      <c r="A15" s="14"/>
      <c r="B15" s="14"/>
      <c r="C15" s="34"/>
      <c r="D15" s="45"/>
      <c r="E15" s="45"/>
      <c r="F15" s="45"/>
      <c r="G15" s="45"/>
      <c r="H15" s="14"/>
      <c r="I15" s="14"/>
      <c r="J15" s="14"/>
      <c r="K15" s="14"/>
    </row>
    <row r="16" spans="1:14" ht="21.75" hidden="1" customHeight="1" x14ac:dyDescent="0.25">
      <c r="A16" s="14"/>
      <c r="B16" s="14"/>
      <c r="C16" s="45"/>
      <c r="D16" s="133"/>
      <c r="E16" s="134"/>
      <c r="F16" s="135"/>
      <c r="G16" s="45"/>
      <c r="H16" s="14"/>
      <c r="I16" s="14"/>
      <c r="J16" s="14"/>
      <c r="K16" s="14"/>
    </row>
    <row r="17" spans="1:10" ht="15.75" hidden="1" customHeight="1" x14ac:dyDescent="0.25">
      <c r="A17" s="14"/>
      <c r="B17" s="14"/>
      <c r="C17" s="41"/>
      <c r="D17" s="133"/>
      <c r="E17" s="134"/>
      <c r="F17" s="135"/>
      <c r="G17" s="41"/>
      <c r="H17" s="14"/>
      <c r="I17" s="14"/>
      <c r="J17" s="14"/>
    </row>
    <row r="18" spans="1:10" ht="18.75" hidden="1" x14ac:dyDescent="0.3">
      <c r="A18" s="14"/>
      <c r="B18" s="14"/>
      <c r="C18" s="14"/>
      <c r="D18" s="14"/>
      <c r="E18" s="14"/>
      <c r="F18" s="14"/>
      <c r="G18" s="46"/>
      <c r="H18" s="14"/>
      <c r="I18" s="14"/>
      <c r="J18" s="14"/>
    </row>
    <row r="19" spans="1:10" ht="15" hidden="1" customHeight="1" x14ac:dyDescent="0.25">
      <c r="A19" s="14"/>
      <c r="B19" s="14"/>
      <c r="C19" s="14"/>
      <c r="D19" s="138"/>
      <c r="E19" s="139"/>
      <c r="F19" s="140"/>
      <c r="G19" s="14"/>
      <c r="H19" s="14"/>
      <c r="I19" s="14"/>
      <c r="J19" s="14"/>
    </row>
    <row r="20" spans="1:10" ht="21" hidden="1" customHeight="1" x14ac:dyDescent="0.3">
      <c r="A20" s="14"/>
      <c r="B20" s="14"/>
      <c r="C20" s="14"/>
      <c r="D20" s="141"/>
      <c r="E20" s="139"/>
      <c r="F20" s="142"/>
      <c r="G20" s="14"/>
      <c r="H20" s="14"/>
      <c r="I20" s="14"/>
      <c r="J20" s="14"/>
    </row>
    <row r="21" spans="1:10" ht="15.75" hidden="1" x14ac:dyDescent="0.25">
      <c r="A21" s="14"/>
      <c r="B21" s="14"/>
      <c r="C21" s="14"/>
      <c r="D21" s="14"/>
      <c r="E21" s="121"/>
      <c r="F21" s="14"/>
      <c r="G21" s="14"/>
      <c r="H21" s="14"/>
      <c r="I21" s="14"/>
      <c r="J21" s="14"/>
    </row>
    <row r="22" spans="1:10" ht="18.75" hidden="1" x14ac:dyDescent="0.3">
      <c r="A22" s="14"/>
      <c r="B22" s="14"/>
      <c r="C22" s="14"/>
      <c r="D22" s="14"/>
      <c r="E22" s="39"/>
      <c r="F22" s="14"/>
      <c r="G22" s="14"/>
      <c r="H22" s="14"/>
      <c r="I22" s="14"/>
      <c r="J22" s="14"/>
    </row>
    <row r="23" spans="1:10" ht="15.75" hidden="1" x14ac:dyDescent="0.25">
      <c r="A23" s="14"/>
      <c r="B23" s="14"/>
      <c r="C23" s="14"/>
      <c r="D23" s="14"/>
      <c r="E23" s="121"/>
      <c r="F23" s="14"/>
      <c r="G23" s="14"/>
      <c r="H23" s="14"/>
      <c r="I23" s="14"/>
      <c r="J23" s="14"/>
    </row>
    <row r="24" spans="1:10" ht="18.75" hidden="1" x14ac:dyDescent="0.3">
      <c r="A24" s="14"/>
      <c r="B24" s="14"/>
      <c r="C24" s="14"/>
      <c r="D24" s="14"/>
      <c r="E24" s="40"/>
      <c r="F24" s="14"/>
      <c r="G24" s="14"/>
      <c r="H24" s="14"/>
      <c r="I24" s="14"/>
      <c r="J24" s="14"/>
    </row>
    <row r="25" spans="1:10" ht="15.75" hidden="1" x14ac:dyDescent="0.25">
      <c r="A25" s="14"/>
      <c r="B25" s="14"/>
      <c r="C25" s="14"/>
      <c r="D25" s="14"/>
      <c r="E25" s="121"/>
      <c r="F25" s="14"/>
      <c r="G25" s="14"/>
      <c r="H25" s="14"/>
      <c r="I25" s="14"/>
      <c r="J25" s="14"/>
    </row>
    <row r="26" spans="1:10" ht="18.75" hidden="1" x14ac:dyDescent="0.3">
      <c r="A26" s="14"/>
      <c r="B26" s="14"/>
      <c r="C26" s="14"/>
      <c r="D26" s="20"/>
      <c r="E26" s="39"/>
      <c r="F26" s="20"/>
      <c r="G26" s="20"/>
      <c r="H26" s="20"/>
      <c r="I26" s="14"/>
      <c r="J26" s="14"/>
    </row>
    <row r="27" spans="1:10" ht="15" hidden="1" customHeight="1" x14ac:dyDescent="0.25">
      <c r="C27" s="34"/>
      <c r="D27" s="50"/>
      <c r="E27" s="50"/>
      <c r="F27" s="50"/>
      <c r="G27" s="50"/>
    </row>
    <row r="28" spans="1:10" hidden="1" x14ac:dyDescent="0.25">
      <c r="C28" s="50"/>
      <c r="D28" s="50"/>
      <c r="E28" s="50"/>
      <c r="F28" s="50"/>
      <c r="G28" s="50"/>
    </row>
    <row r="29" spans="1:10" ht="15.75" hidden="1" x14ac:dyDescent="0.25">
      <c r="C29" s="14"/>
      <c r="D29" s="14"/>
      <c r="E29" s="33"/>
      <c r="F29" s="14"/>
      <c r="G29" s="14"/>
    </row>
    <row r="30" spans="1:10" ht="18.75" hidden="1" x14ac:dyDescent="0.3">
      <c r="C30" s="14"/>
      <c r="D30" s="14"/>
      <c r="E30" s="48"/>
      <c r="F30" s="14"/>
      <c r="G30" s="14"/>
    </row>
    <row r="31" spans="1:10" ht="21" hidden="1" x14ac:dyDescent="0.35">
      <c r="C31" s="14"/>
      <c r="D31" s="14"/>
      <c r="E31" s="49"/>
      <c r="F31" s="14"/>
      <c r="G31" s="14"/>
    </row>
    <row r="32" spans="1:10" ht="18.75" hidden="1" x14ac:dyDescent="0.3">
      <c r="C32" s="14"/>
      <c r="D32" s="14"/>
      <c r="E32" s="22"/>
      <c r="F32" s="14"/>
      <c r="G32" s="14"/>
    </row>
    <row r="33" spans="1:10" ht="18.75" hidden="1" x14ac:dyDescent="0.3">
      <c r="C33" s="14"/>
      <c r="D33" s="14"/>
      <c r="E33" s="39"/>
      <c r="F33" s="14"/>
      <c r="G33" s="14"/>
    </row>
    <row r="34" spans="1:10" hidden="1" x14ac:dyDescent="0.25">
      <c r="C34" s="14"/>
      <c r="D34" s="14"/>
      <c r="E34" s="14"/>
      <c r="F34" s="14"/>
      <c r="G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20"/>
      <c r="C36" s="20"/>
      <c r="D36" s="20"/>
      <c r="E36" s="20"/>
      <c r="F36" s="20"/>
      <c r="G36" s="20"/>
      <c r="H36" s="20"/>
      <c r="I36" s="20"/>
      <c r="J36" s="14"/>
    </row>
    <row r="37" spans="1:10" ht="15.75" x14ac:dyDescent="0.25">
      <c r="A37" s="14"/>
      <c r="B37" s="199"/>
      <c r="C37" s="199"/>
      <c r="D37" s="199"/>
      <c r="E37" s="199"/>
      <c r="F37" s="199"/>
      <c r="G37" s="199"/>
      <c r="H37" s="199"/>
      <c r="I37" s="41"/>
      <c r="J37" s="14"/>
    </row>
    <row r="38" spans="1:10" ht="15" customHeight="1" x14ac:dyDescent="0.25">
      <c r="A38" s="14"/>
      <c r="B38" s="195"/>
      <c r="C38" s="195"/>
      <c r="D38" s="195"/>
      <c r="E38" s="195"/>
      <c r="F38" s="195"/>
      <c r="G38" s="195"/>
      <c r="H38" s="195"/>
      <c r="I38" s="42"/>
      <c r="J38" s="14"/>
    </row>
    <row r="39" spans="1:10" ht="15" customHeight="1" x14ac:dyDescent="0.25">
      <c r="A39" s="14"/>
      <c r="B39" s="196"/>
      <c r="C39" s="196"/>
      <c r="D39" s="196"/>
      <c r="E39" s="196"/>
      <c r="F39" s="196"/>
      <c r="G39" s="196"/>
      <c r="H39" s="196"/>
      <c r="I39" s="43"/>
      <c r="J39" s="14"/>
    </row>
    <row r="40" spans="1:10" x14ac:dyDescent="0.25">
      <c r="A40" s="14"/>
      <c r="B40" s="42"/>
      <c r="C40" s="42"/>
      <c r="D40" s="42"/>
      <c r="E40" s="42"/>
      <c r="F40" s="42"/>
      <c r="G40" s="42"/>
      <c r="H40" s="42"/>
      <c r="I40" s="42"/>
      <c r="J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</sheetData>
  <sheetProtection algorithmName="SHA-512" hashValue="L242U4asmDw7m4RoDbX9PJhXCV98w+kH732aNIaPdkYbQWalJqVGjy/S0PocBPcUApj6Va1S1NACiC4bjAJLIQ==" saltValue="MJ8sDQ+OrzsjqTWsqsNAGA==" spinCount="100000" sheet="1" objects="1" scenarios="1"/>
  <mergeCells count="12">
    <mergeCell ref="B38:H38"/>
    <mergeCell ref="B39:H39"/>
    <mergeCell ref="E5:E6"/>
    <mergeCell ref="B37:H37"/>
    <mergeCell ref="E2:E3"/>
    <mergeCell ref="F2:F3"/>
    <mergeCell ref="D2:D3"/>
    <mergeCell ref="D13:F13"/>
    <mergeCell ref="D11:F11"/>
    <mergeCell ref="D10:F10"/>
    <mergeCell ref="D12:F12"/>
    <mergeCell ref="D9:F9"/>
  </mergeCells>
  <hyperlinks>
    <hyperlink ref="D2" location="'صفحه اصلی'!A1" display="صفحه اصلی"/>
  </hyperlink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08"/>
  <sheetViews>
    <sheetView showGridLines="0" showRowColHeaders="0" rightToLeft="1" zoomScaleNormal="100" workbookViewId="0">
      <selection activeCell="D18" sqref="D18:D19"/>
    </sheetView>
  </sheetViews>
  <sheetFormatPr defaultColWidth="9.140625" defaultRowHeight="15" x14ac:dyDescent="0.25"/>
  <cols>
    <col min="1" max="1" width="5.140625" style="18" customWidth="1"/>
    <col min="2" max="2" width="6.42578125" style="18" customWidth="1"/>
    <col min="3" max="3" width="11.7109375" style="18" customWidth="1"/>
    <col min="4" max="4" width="14.7109375" style="18" customWidth="1"/>
    <col min="5" max="5" width="35.5703125" style="18" customWidth="1"/>
    <col min="6" max="6" width="14.5703125" style="18" customWidth="1"/>
    <col min="7" max="7" width="12.5703125" style="18" customWidth="1"/>
    <col min="8" max="8" width="9.140625" style="18" customWidth="1"/>
    <col min="9" max="13" width="9.140625" style="19" hidden="1" customWidth="1"/>
    <col min="14" max="14" width="23.85546875" style="19" hidden="1" customWidth="1"/>
    <col min="15" max="15" width="9.140625" style="19" hidden="1" customWidth="1"/>
    <col min="16" max="16" width="10.7109375" style="19" hidden="1" customWidth="1"/>
    <col min="17" max="21" width="9.140625" style="19" hidden="1" customWidth="1"/>
    <col min="22" max="22" width="9.140625" style="19" customWidth="1"/>
    <col min="23" max="23" width="9.140625" style="19"/>
    <col min="24" max="16384" width="9.140625" style="18"/>
  </cols>
  <sheetData>
    <row r="1" spans="1:24" ht="16.5" customHeight="1" x14ac:dyDescent="0.25">
      <c r="A1" s="20"/>
      <c r="B1" s="20"/>
      <c r="C1" s="20"/>
      <c r="D1" s="20"/>
      <c r="E1" s="20"/>
      <c r="F1" s="20"/>
      <c r="G1" s="20"/>
      <c r="H1" s="20"/>
    </row>
    <row r="2" spans="1:24" ht="16.5" hidden="1" customHeight="1" x14ac:dyDescent="0.25">
      <c r="A2" s="20"/>
      <c r="B2" s="20"/>
      <c r="C2" s="20"/>
      <c r="D2" s="125"/>
      <c r="E2" s="126"/>
      <c r="F2" s="50"/>
      <c r="G2" s="20"/>
      <c r="H2" s="20"/>
      <c r="L2" s="19">
        <v>1</v>
      </c>
      <c r="M2" s="19">
        <v>1369</v>
      </c>
      <c r="N2" s="19" t="b">
        <f>IF(AND(C9=1,D9=1369),A100*1,IF(AND(C9=2,D9=1369),A100*1,IF(AND(C9=3,D9=1369),A100*1,IF(AND(C9=4,D9=1369),A100*1,IF(AND(C9=5,D9=1369),A100*0.9,IF(AND(C9=6,D9=1369),A100*1,IF(AND(C9=7,D9=1369),A100*1,IF(AND(C9=8,D9=1369),A100*1,IF(AND(C9=9,D9=1369),A100*1,IF(AND(C9=10,D9=1369),A100*1,IF(AND(C9=11,D9=1369),A100*1,IF(AND(C9=12,D9=1369),A100*1,IF(AND(C9=1,D9=1370),A100*1.1)))))))))))))</f>
        <v>0</v>
      </c>
      <c r="O2" s="19" t="b">
        <f>IF(AND(F9=1,G9=1369),A100*1,IF(AND(F9=2,G9=1369),A100*1,IF(AND(F9=3,G9=1369),A100*1,IF(AND(F9=4,G9=1369),A100*1,IF(AND(F9=5,G9=1369),A100*0.9,IF(AND(F9=6,G9=1369),A100*1,IF(AND(F9=7,G9=1369),A100*1,IF(AND(F9=8,G9=1369),A100*1,IF(AND(F9=9,G9=1369),A100*1,IF(AND(F9=10,G9=1369),A100*1,IF(AND(F9=11,G9=1369),A100*1,IF(AND(F9=12,G9=1369),A100*1,IF(AND(F9=1,G9=1370),A100*1.1)))))))))))))</f>
        <v>0</v>
      </c>
      <c r="Q2" s="19">
        <v>1315</v>
      </c>
      <c r="R2" s="19" t="b">
        <f>IF(AND(C23=1315),A100*0.004,IF(AND(C23=1316),A100*0.004,IF(AND(C23=1317),A100*0.004,IF(AND(C23=1318),A100*0.004,IF(AND(C23=1319),A100*0.004,IF(AND(C23=1320),A100*0.008,IF(AND(C23=1321),A100*0.012,IF(AND(C23=1322),A100*0.028,IF(AND(C23=1323),A100*0.028,IF(AND(C23=1324),A100*0.024,IF(AND(C23=1325),A100*0.2,IF(AND(C23=1326),A100*0.24,IF(AND(C23=1327),A100*0.024,IF(AND(C23=1328),A100*0.028,IF(AND(C23=1329),A100*0.02,IF(AND(C23=1330),A100*0.024))))))))))))))))</f>
        <v>0</v>
      </c>
      <c r="S2" s="19" t="b">
        <f>IF(AND(F23=1315),A100*0.004,IF(AND(F23=1316),A100*0.004,IF(AND(F23=1317),A100*0.004,IF(AND(F23=1318),A100*0.004,IF(AND(F23=1319),A100*0.004,IF(AND(F23=1320),A100*0.008,IF(AND(F23=1321),A100*0.012,IF(AND(F23=1322),A100*0.028,IF(AND(F23=1323),A100*0.028,IF(AND(F23=1324),A100*0.024,IF(AND(F23=1325),A100*0.2,IF(AND(F23=1326),A100*0.24,IF(AND(F23=1327),A100*0.024,IF(AND(F23=1328),A100*0.028,IF(AND(F23=1329),A100*0.02,IF(AND(F23=1330),A100*0.024))))))))))))))))</f>
        <v>0</v>
      </c>
    </row>
    <row r="3" spans="1:24" ht="16.5" hidden="1" customHeight="1" x14ac:dyDescent="0.4">
      <c r="A3" s="20"/>
      <c r="B3" s="20"/>
      <c r="C3" s="28"/>
      <c r="D3" s="125"/>
      <c r="E3" s="126"/>
      <c r="F3" s="50"/>
      <c r="G3" s="29"/>
      <c r="H3" s="20"/>
      <c r="L3" s="19">
        <v>2</v>
      </c>
      <c r="M3" s="19">
        <v>1370</v>
      </c>
      <c r="N3" s="19" t="b">
        <f>IF(AND(C9=1,D9=1370),A100*1.1,IF(AND(C9=2,D9=1370),A100*1.1,IF(AND(C9=3,D9=1370),A100*1.1,IF(AND(C9=4,D9=1370),A100*1.1,IF(AND(C9=5,D9=1370),A100*1.2,IF(AND(C9=6,D9=1370),A100*1.2,IF(AND(C9=7,D9=1370),A100*1.2,IF(AND(C9=8,D9=1370),A100*1.2,IF(AND(C9=9,D9=1370),A100*1.2,IF(AND(C9=10,D9=1370),A100*1.2,IF(AND(C9=11,D9=1370),A100*1.3,IF(AND(C9=12,D9=1370),A100*1.4))))))))))))</f>
        <v>0</v>
      </c>
      <c r="O3" s="19" t="b">
        <f>IF(AND(F9=2,G9=1370),A100*1.1,IF(AND(F9=3,G9=1370),A100*1.1,IF(AND(F9=4,G9=1370),A100*1.1,IF(AND(F9=5,G9=1370),A100*1.2,IF(AND(F9=6,G9=1370),A100*1.2,IF(AND(F9=7,G9=1370),A100*1.2,IF(AND(F9=8,G9=1370),A100*1.2,IF(AND(F9=9,G9=1370),A100*1.2,IF(AND(F9=10,G9=1370),A100*1.2,IF(AND(F9=11,G9=1370),A100*1.3,IF(AND(F9=12,G9=1370),A100*1.4)))))))))))</f>
        <v>0</v>
      </c>
      <c r="Q3" s="19">
        <v>1316</v>
      </c>
    </row>
    <row r="4" spans="1:24" ht="16.5" hidden="1" customHeight="1" x14ac:dyDescent="0.25">
      <c r="A4" s="20"/>
      <c r="B4" s="20"/>
      <c r="C4" s="29"/>
      <c r="D4" s="29"/>
      <c r="E4" s="29"/>
      <c r="F4" s="29"/>
      <c r="G4" s="29"/>
      <c r="H4" s="20"/>
      <c r="L4" s="19">
        <v>3</v>
      </c>
      <c r="M4" s="19">
        <v>1371</v>
      </c>
      <c r="N4" s="21"/>
      <c r="O4" s="19" t="b">
        <f>IF(AND(F9=1,G9=1371),A100*1.4,IF(AND(F9=2,G9=1371),A100*1.4,IF(AND(F9=3,G9=1371),A100*1.4,IF(AND(F9=4,G9=1371),A100*1.4,IF(AND(F9=5,G9=1371),A100*1.5,IF(AND(F9=6,G9=1371),A100*1.5,IF(AND(F9=7,G9=1371),A100*1.5,IF(AND(F9=8,G9=1371),A100*1.5,IF(AND(F9=9,G9=1371),A100*1.5,IF(AND(F9=10,G9=1371),A100*1.5,IF(AND(F9=11,G9=1371),A100*1.6,IF(AND(F9=12,G9=1371),A100*1.6))))))))))))</f>
        <v>0</v>
      </c>
      <c r="Q4" s="19">
        <v>1317</v>
      </c>
    </row>
    <row r="5" spans="1:24" ht="16.5" hidden="1" customHeight="1" x14ac:dyDescent="0.25">
      <c r="A5" s="20"/>
      <c r="B5" s="20"/>
      <c r="C5" s="20"/>
      <c r="D5" s="20"/>
      <c r="E5" s="129"/>
      <c r="F5" s="20"/>
      <c r="G5" s="20"/>
      <c r="H5" s="20"/>
      <c r="L5" s="19">
        <v>4</v>
      </c>
      <c r="M5" s="19">
        <v>1372</v>
      </c>
      <c r="N5" s="19" t="b">
        <f>IF(AND(C9=1,D9=1372),A100*1.7,IF(AND(C9=2,D9=1372),A100*1.7,IF(AND(C9=3,D9=1372),A100*1.7,IF(AND(C9=4,D9=1372),A100*1.7,IF(AND(C9=5,D9=1372),A100*1.7,IF(AND(C9=6,D9=1372),"1.8",IF(AND(C9=7,D9=1372),A100*1.8,IF(AND(C9=8,D9=1372),A100*1.8,IF(AND(C9=9,D9=1372),A100*1.9,IF(AND(C9=10,D9=1372),A100*1.9,IF(AND(C9=11,D9=1372),A100*2,IF(AND(C9=12,D9=1372),A100*2.1))))))))))))</f>
        <v>0</v>
      </c>
      <c r="O5" s="19" t="b">
        <f>IF(AND(F9=1,G9=1372),A100*1.7,IF(AND(F9=2,G9=1372),A100*1.7,IF(AND(F9=3,G9=1372),A100*1.7,IF(AND(F9=4,G9=1372),A100*1.7,IF(AND(F9=5,G9=1372),A100*1.7,IF(AND(F9=6,G9=1372),"1.8",IF(AND(F9=7,G9=1372),A100*1.8,IF(AND(F9=8,G9=1372),A100*1.8,IF(AND(F9=9,G9=1372),A100*1.9,IF(AND(F9=10,G9=1372),A100*1.9,IF(AND(F9=11,G9=1372),A100*2,IF(AND(F9=12,G9=1372),A100*2.1))))))))))))</f>
        <v>0</v>
      </c>
      <c r="Q5" s="19">
        <v>1318</v>
      </c>
    </row>
    <row r="6" spans="1:24" ht="16.5" hidden="1" customHeight="1" x14ac:dyDescent="0.25">
      <c r="A6" s="20"/>
      <c r="B6" s="20"/>
      <c r="C6" s="20"/>
      <c r="D6" s="20"/>
      <c r="E6" s="129"/>
      <c r="F6" s="20"/>
      <c r="G6" s="20"/>
      <c r="H6" s="20"/>
      <c r="L6" s="19">
        <v>5</v>
      </c>
      <c r="M6" s="19">
        <v>1373</v>
      </c>
      <c r="N6" s="19" t="b">
        <f>IF(AND(C9=1,D9=1373),A100*2.1,IF(AND(C9=2,D9=1373),A100*2.2,IF(AND(C9=3,D9=1373),A100*2.2,IF(AND(C9=4,D9=1373),A100*2.3,IF(AND(C9=5,D9=1373),A100*2.3,IF(AND(C9=6,D9=1373),A100*2.4,IF(AND(C9=7,D9=1373),A100*2.5,IF(AND(C9=8,D9=1373),A100*2.5,IF(AND(C9=9,D9=1373),A100*2.5,IF(AND(C9=10,D9=1373),A100*2.6,IF(AND(C9=11,D9=1373),A100*2.8,IF(AND(C9=12,D9=1373),A100*3))))))))))))</f>
        <v>0</v>
      </c>
      <c r="O6" s="19" t="b">
        <f>IF(AND(F9=1,G9=1373),A100*2.1,IF(AND(F9=2,G9=1373),A100*2.2,IF(AND(F9=3,G9=1373),A100*2.2,IF(AND(F9=4,G9=1373),A100*2.3,IF(AND(F9=5,G9=1373),A100*2.3,IF(AND(F9=6,G9=1373),A100*2.4,IF(AND(F9=7,G9=1373),A100*2.5,IF(AND(F9=8,G9=1373),A100*2.5,IF(AND(F9=9,G9=1373),A100*2.5,IF(AND(F9=10,G9=1373),A100*2.6,IF(AND(F9=11,G9=1373),A100*2.8,IF(AND(F9=12,G9=1373),A100*3))))))))))))</f>
        <v>0</v>
      </c>
      <c r="Q6" s="19">
        <v>1319</v>
      </c>
    </row>
    <row r="7" spans="1:24" ht="16.5" hidden="1" customHeight="1" x14ac:dyDescent="0.25">
      <c r="A7" s="20"/>
      <c r="B7" s="20"/>
      <c r="C7" s="126"/>
      <c r="D7" s="126"/>
      <c r="E7" s="130"/>
      <c r="F7" s="126"/>
      <c r="G7" s="126"/>
      <c r="H7" s="20"/>
      <c r="L7" s="19">
        <v>6</v>
      </c>
      <c r="M7" s="19">
        <v>1374</v>
      </c>
      <c r="N7" s="19" t="b">
        <f>IF(AND(C9=1,D9=1374),A100*3.2,IF(AND(C9=2,D9=1374),A100*3.5,IF(AND(C9=3,D9=1374),A100*3.5,IF(AND(C9=4,D9=1374),A100*3.5,IF(AND(C9=5,D9=1374),A100*3.5,IF(AND(C9=6,D9=1374),A100*3.5,IF(AND(C9=7,D9=1374),A100*3.6,IF(AND(C9=8,D9=1374),A100*3.7,IF(AND(C9=9,D9=1374),A100*3.8,IF(AND(C9=10,D9=1374),A100*4,IF(AND(C9=11,D9=1374),A100*4,IF(AND(C9=12,D9=1374),A100*4.1))))))))))))</f>
        <v>0</v>
      </c>
      <c r="O7" s="19" t="b">
        <f>IF(AND(F9=1,G9=1374),A100*3.2,IF(AND(F9=2,G9=1374),A100*3.5,IF(AND(F9=3,G9=1374),A100*3.5,IF(AND(F9=4,G9=1374),A100*3.5,IF(AND(F9=5,G9=1374),A100*3.5,IF(AND(F9=6,G9=1374),A100*3.5,IF(AND(F9=7,G9=1374),A100*3.6,IF(AND(F9=8,G9=1374),A100*3.7,IF(AND(F9=9,G9=1374),A100*3.8,IF(AND(F9=10,G9=1374),A100*4,IF(AND(F9=11,G9=1374),A100*4,IF(AND(F9=12,G9=1374),A100*4.1))))))))))))</f>
        <v>0</v>
      </c>
      <c r="Q7" s="19">
        <v>1320</v>
      </c>
    </row>
    <row r="8" spans="1:24" ht="16.5" hidden="1" customHeight="1" x14ac:dyDescent="0.25">
      <c r="A8" s="20"/>
      <c r="B8" s="20"/>
      <c r="C8" s="119"/>
      <c r="D8" s="119"/>
      <c r="E8" s="130"/>
      <c r="F8" s="119"/>
      <c r="G8" s="119"/>
      <c r="H8" s="20"/>
      <c r="L8" s="19">
        <v>7</v>
      </c>
      <c r="M8" s="19">
        <v>1375</v>
      </c>
      <c r="N8" s="19" t="b">
        <f>IF(AND(C9=1,D9=1375),A100*4.4,IF(AND(C9=2,D9=1375),A100*4.4,IF(AND(C9=3,D9=1375),A100*4.4,IF(AND(C9=4,D9=1375),A100*4.4,IF(AND(C9=5,D9=1375),A100*4.4,IF(AND(C9=6,D9=1375),A100*4.4,IF(AND(C9=7,D9=1375),A100*4.5,IF(AND(C9=8,D9=1375),A100*4.6,IF(AND(C9=9,D9=1375),A100*4.6,IF(AND(C9=10,D9=1375),A100*4.7,IF(AND(C9=11,D9=1375),A100*4.8,IF(AND(C9=12,D9=1375),A100*4.8))))))))))))</f>
        <v>0</v>
      </c>
      <c r="O8" s="19" t="b">
        <f>IF(AND(F9=1,G9=1375),A100*4.4,IF(AND(F9=2,G9=1375),A100*4.4,IF(AND(F9=3,G9=1375),A100*4.4,IF(AND(F9=4,G9=1375),A100*4.4,IF(AND(F9=5,G9=1375),A100*4.4,IF(AND(F9=6,G9=1375),A100*4.4,IF(AND(F9=7,G9=1375),A100*4.5,IF(AND(F9=8,G9=1375),A100*4.6,IF(AND(F9=9,G9=1375),A100*4.6,IF(AND(F9=10,G9=1375),A100*4.7,IF(AND(F9=11,G9=1375),A100*4.8,IF(AND(F9=12,G9=1375),A100*4.8))))))))))))</f>
        <v>0</v>
      </c>
      <c r="Q8" s="19">
        <v>1321</v>
      </c>
    </row>
    <row r="9" spans="1:24" ht="16.5" hidden="1" customHeight="1" x14ac:dyDescent="0.25">
      <c r="A9" s="20"/>
      <c r="B9" s="20"/>
      <c r="C9" s="131"/>
      <c r="D9" s="131"/>
      <c r="E9" s="124"/>
      <c r="F9" s="131"/>
      <c r="G9" s="131"/>
      <c r="H9" s="20"/>
      <c r="L9" s="19">
        <v>8</v>
      </c>
      <c r="M9" s="19">
        <v>1376</v>
      </c>
      <c r="N9" s="19" t="b">
        <f>IF(AND(C9=1,D9=1376),A100*5,IF(AND(C9=2,D9=1376),A100*5.1,IF(AND(C9=3,D9=1376),A100*5.1,IF(AND(C9=4,D9=1376),A100*5.1,IF(AND(C9=5,D9=1376),A100*5.2,IF(AND(C9=6,D9=1376),A100*5.2,IF(AND(C9=7,D9=1376),A100*5.2,IF(AND(C9=8,D9=1376),A100*5.3,IF(AND(C9=9,D9=1376),A100*5.4,IF(AND(C9=10,D9=1376),A100*5.5,IF(AND(C9=11,D9=1376),A100*5.6,IF(AND(C9=12,D9=1376),A100*5.7))))))))))))</f>
        <v>0</v>
      </c>
      <c r="O9" s="19" t="b">
        <f>IF(AND(F9=1,G9=1376),A100*5,IF(AND(F9=2,G9=1376),A100*5.1,IF(AND(F9=3,G9=1376),A100*5.1,IF(AND(F9=4,G9=1376),A100*5.1,IF(AND(F9=5,G9=1376),A100*5.2,IF(AND(F9=6,G9=1376),A100*5.2,IF(AND(F9=7,G9=1376),A100*5.2,IF(AND(F9=8,G9=1376),A100*5.3,IF(AND(F9=9,G9=1376),A100*5.4,IF(AND(F9=10,G9=1376),A100*5.5,IF(AND(F9=11,G9=1376),A100*5.6,IF(AND(F9=12,G9=1376),A100*5.7))))))))))))</f>
        <v>0</v>
      </c>
      <c r="Q9" s="19">
        <v>1322</v>
      </c>
    </row>
    <row r="10" spans="1:24" ht="16.5" hidden="1" customHeight="1" x14ac:dyDescent="0.25">
      <c r="A10" s="20"/>
      <c r="B10" s="20"/>
      <c r="C10" s="20"/>
      <c r="D10" s="20"/>
      <c r="E10" s="20"/>
      <c r="F10" s="20"/>
      <c r="G10" s="20"/>
      <c r="H10" s="20"/>
      <c r="L10" s="19">
        <v>9</v>
      </c>
      <c r="M10" s="19">
        <v>1377</v>
      </c>
      <c r="N10" s="19" t="b">
        <f>IF(AND(C9=1,D9=1377),A100*6,IF(AND(C9=2,D9=1377),A100*6,IF(AND(C9=3,D9=1377),A100*6,IF(AND(C9=4,D9=1377),A100*6,IF(AND(C9=5,D9=1377),A100*6,IF(AND(C9=6,D9=1377),A100*6.1,IF(AND(C9=7,D9=1377),A100*6.2,IF(AND(C9=8,D9=1377),A100*6.3,IF(AND(C9=9,D9=1377),A100*6.5,IF(AND(C9=10,D9=1377),A100*6.5,IF(AND(C9=11,D9=1377),A100*6.7,IF(AND(C9=12,D9=1377),A100*6.8))))))))))))</f>
        <v>0</v>
      </c>
      <c r="O10" s="19" t="b">
        <f>IF(AND(F9=1,G9=1377),A100*6,IF(AND(F9=2,G9=1377),A100*6,IF(AND(F9=3,G9=1377),A100*6,IF(AND(F9=4,G9=1377),A100*6,IF(AND(F9=5,G9=1377),A100*6,IF(AND(F9=6,G9=1377),A100*6.1,IF(AND(F9=7,G9=1377),A100*6.2,IF(AND(F9=8,G9=1377),A100*6.3,IF(AND(F9=9,G9=1377),A100*6.5,IF(AND(F9=10,G9=1377),A100*6.5,IF(AND(F9=11,G9=1377),A100*6.7,IF(AND(F9=12,G9=1377),A100*6.8))))))))))))</f>
        <v>0</v>
      </c>
      <c r="Q10" s="19">
        <v>1323</v>
      </c>
    </row>
    <row r="11" spans="1:24" ht="8.25" hidden="1" customHeight="1" x14ac:dyDescent="0.3">
      <c r="A11" s="20"/>
      <c r="B11" s="20"/>
      <c r="C11" s="20"/>
      <c r="D11" s="20"/>
      <c r="E11" s="22"/>
      <c r="F11" s="20"/>
      <c r="G11" s="20"/>
      <c r="H11" s="20"/>
      <c r="J11" s="115"/>
      <c r="L11" s="19">
        <v>10</v>
      </c>
      <c r="M11" s="19">
        <v>1378</v>
      </c>
      <c r="N11" s="19" t="b">
        <f>IF(AND(C9=1,D9=1378),A100*7.2,IF(AND(C9=2,D9=1378),A100*7.3,IF(AND(C9=3,D9=1378),A100*7.3,IF(AND(C9=4,D9=1378),A100*7.3,IF(AND(C9=5,D9=1378),A100*7.3,IF(AND(C9=6,D9=1378),A100*7.4,IF(AND(C9=7,D9=1378),A100*7.5,IF(AND(C9=8,D9=1378),A100*7.5,IF(AND(C9=9,D9=1378),A100*7.7,IF(AND(C9=10,D9=1378),A100*7.8,IF(AND(C9=11,D9=1378),A100*7.9,IF(AND(C9=12,D9=1378),A100*8.1))))))))))))</f>
        <v>0</v>
      </c>
      <c r="O11" s="19" t="b">
        <f>IF(AND(F9=1,G9=1378),A100*7.2,IF(AND(F9=2,G9=1378),A100*7.3,IF(AND(F9=3,G9=1378),A100*7.3,IF(AND(F9=4,G9=1378),A100*7.3,IF(AND(F9=5,G9=1378),A100*7.3,IF(AND(F9=6,G9=1378),A100*7.4,IF(AND(F9=7,G9=1378),A100*7.5,IF(AND(F9=8,G9=1378),A100*7.5,IF(AND(F9=9,G9=1378),A100*7.7,IF(AND(F9=10,G9=1378),A100*7.8,IF(AND(F9=11,G9=1378),A100*7.9,IF(AND(F9=12,G9=1378),A100*8.1))))))))))))</f>
        <v>0</v>
      </c>
      <c r="Q11" s="19">
        <v>1324</v>
      </c>
    </row>
    <row r="12" spans="1:24" ht="18.75" hidden="1" x14ac:dyDescent="0.25">
      <c r="A12" s="20"/>
      <c r="B12" s="20"/>
      <c r="C12" s="20"/>
      <c r="D12" s="20"/>
      <c r="E12" s="23"/>
      <c r="F12" s="20"/>
      <c r="G12" s="20"/>
      <c r="H12" s="20"/>
      <c r="L12" s="19">
        <v>11</v>
      </c>
      <c r="M12" s="19">
        <v>1379</v>
      </c>
      <c r="N12" s="19" t="b">
        <f>IF(AND(C9=1,D9=1379),A100*8.1,IF(AND(C9=2,D9=1379),A100*8.1,IF(AND(C9=3,D9=1379),A100*8.3,IF(AND(C9=4,D9=1379),A100*8.2,IF(AND(C9=5,D9=1379),A100*8.3,IF(AND(C9=6,D9=1379),A100*8.3,IF(AND(C9=7,D9=1379),A100*8.4,IF(AND(C9=8,D9=1379),A100*8.5,IF(AND(C9=9,D9=1379),A100*8.7,IF(AND(C9=10,D9=1379),A100*8.7,IF(AND(C9=11,D9=1379),A100*8.8,IF(AND(C9=12,D9=1379),A100*9))))))))))))</f>
        <v>0</v>
      </c>
      <c r="O12" s="19" t="b">
        <f>IF(AND(F9=1,G9=1379),A100*8.1,IF(AND(F9=2,G9=1379),A100*8.1,IF(AND(F9=3,G9=1379),A100*8.3,IF(AND(F9=4,G9=1379),A100*8.2,IF(AND(F9=5,G9=1379),A100*8.3,IF(AND(F9=6,G9=1379),A100*8.3,IF(AND(F9=7,G9=1379),A100*8.4,IF(AND(F9=8,G9=1379),A100*8.5,IF(AND(C9=9,G9=1379),A100*8.7,IF(AND(F9=10,G9=1379),A100*8.7,IF(AND(F9=11,G9=1379),A100*8.8,IF(AND(F9=12,G9=1379),A100*9))))))))))))</f>
        <v>0</v>
      </c>
      <c r="Q12" s="19">
        <v>1325</v>
      </c>
    </row>
    <row r="13" spans="1:24" ht="18.75" hidden="1" x14ac:dyDescent="0.3">
      <c r="A13" s="20"/>
      <c r="B13" s="20"/>
      <c r="C13" s="20"/>
      <c r="D13" s="20"/>
      <c r="E13" s="22"/>
      <c r="F13" s="20"/>
      <c r="G13" s="20"/>
      <c r="H13" s="20"/>
      <c r="I13" s="115"/>
      <c r="L13" s="19">
        <v>12</v>
      </c>
      <c r="M13" s="19">
        <v>1380</v>
      </c>
      <c r="N13" s="19" t="b">
        <f>IF(AND(C9=1,D9=1380),A100*9.1,IF(AND(C9=2,D9=1380),A100*9.1,IF(AND(C9=3,D9=1380),A100*9.2,IF(AND(C9=4,D9=1380),A100*9.2,IF(AND(C9=5,D9=1380),A100*9.3,IF(AND(C9=6,D9=1380),A100*9.3,IF(AND(C9=7,D9=1380),A100*9.4,IF(AND(C9=8,D9=1380),A100*9.4,IF(AND(C9=9,D9=1380),A100*9.6,IF(AND(C9=10,D9=1380),A100*9.7,IF(AND(C9=11,D9=1380),A100*9.8,IF(AND(C9=12,D9=1380),A100*10))))))))))))</f>
        <v>0</v>
      </c>
      <c r="O13" s="19" t="b">
        <f>IF(AND(F9=1,G9=1380),A100*9.1,IF(AND(F9=2,G9=1380),A100*9.1,IF(AND(F9=3,G9=1380),A100*9.2,IF(AND(F9=4,G9=1380),A100*9.2,IF(AND(F9=5,G9=1380),A100*9.3,IF(AND(F9=6,G9=1380),A100*9.3,IF(AND(F9=7,G9=1380),A100*9.4,IF(AND(F9=8,G9=1380),A100*9.4,IF(AND(F9=9,G9=1380),A100*9.6,IF(AND(F9=10,G9=1380),A100*9.7,IF(AND(F9=11,G9=1380),A100*9.8,IF(AND(F9=12,G9=1380),A100*10))))))))))))</f>
        <v>0</v>
      </c>
      <c r="Q13" s="19">
        <v>1326</v>
      </c>
    </row>
    <row r="14" spans="1:24" ht="18.75" hidden="1" x14ac:dyDescent="0.25">
      <c r="A14" s="20"/>
      <c r="B14" s="20"/>
      <c r="C14" s="20"/>
      <c r="D14" s="20"/>
      <c r="E14" s="23"/>
      <c r="F14" s="20"/>
      <c r="G14" s="20"/>
      <c r="H14" s="20"/>
      <c r="M14" s="19">
        <v>1381</v>
      </c>
      <c r="N14" s="19" t="b">
        <f>IF(AND(C9=1,D9=1381),A100*10.2,IF(AND(C9=2,D9=1381),A100*10.4,IF(AND(C9=3,D9=1381),A100*10.6,IF(AND(C9=4,D9=1381),A100*10.6,IF(AND(C9=5,D9=1381),A100*10.6,IF(AND(C9=6,D9=1381),A100*10.8,IF(AND(C9=7,D9=1381),A100*10.8,IF(AND(C9=8,D9=1381),A100*11,IF(AND(C9=9,D9=1381),A100*11.2,IF(AND(C9=10,D9=1381),A100*11.4,IF(AND(C9=11,D9=1381),A100*11.6,IF(AND(C9=12,D9=1381),A100*11.8))))))))))))</f>
        <v>0</v>
      </c>
      <c r="O14" s="19" t="b">
        <f>IF(AND(F9=1,G9=1381),A100*10.2,IF(AND(F9=2,G9=1381),A100*10.4,IF(AND(F9=3,G9=1381),A100*10.6,IF(AND(F9=4,G9=1381),A100*10.6,IF(AND(F9=5,G9=1381),A100*10.6,IF(AND(F9=6,G9=1381),A100*10.8,IF(AND(F9=7,G9=1381),A100*10.8,IF(AND(F9=8,G9=1381),A100*11,IF(AND(F9=9,G9=1381),A100*11.2,IF(AND(F9=10,G9=1381),A100*11.4,IF(AND(F9=11,G9=1381),A100*11.6,IF(AND(F9=12,G9=1381),A100*11.8))))))))))))</f>
        <v>0</v>
      </c>
      <c r="Q14" s="19">
        <v>1327</v>
      </c>
    </row>
    <row r="15" spans="1:24" hidden="1" x14ac:dyDescent="0.25">
      <c r="A15" s="20"/>
      <c r="B15" s="20"/>
      <c r="C15" s="20"/>
      <c r="D15" s="20"/>
      <c r="E15" s="20"/>
      <c r="F15" s="20"/>
      <c r="G15" s="20"/>
      <c r="H15" s="20"/>
      <c r="M15" s="19">
        <v>1382</v>
      </c>
      <c r="N15" s="19" t="b">
        <f>IF(AND(C9=1,D9=1382),A100*12,IF(AND(C9=2,D9=1382),A100*12.1,IF(AND(C9=3,D9=1382),A100*12.3,IF(AND(C9=4,D9=1382),A100*12.4,IF(AND(C9=5,D9=1382),A100*12.4,IF(AND(C9=6,D9=1382),A100*12.4,IF(AND(C9=7,D9=1382),A100*12.5,IF(AND(C9=8,D9=1382),A100*12.7,IF(AND(C9=9,D9=1382),A100*12.9,IF(AND(C9=10,D9=1382),A100*13.1,IF(AND(C9=11,D9=1382),A100*13.2,IF(AND(C9=12,D9=1382),A100*13.4))))))))))))</f>
        <v>0</v>
      </c>
      <c r="O15" s="19" t="b">
        <f>IF(AND(F9=1,G9=1382),A100*12,IF(AND(F9=2,G9=1382),A100*12.1,IF(AND(F9=3,G9=1382),A100*12.3,IF(AND(F9=4,G9=1382),A100*12.4,IF(AND(F9=5,G9=1382),A100*12.4,IF(AND(F9=6,G9=1382),A100*12.4,IF(AND(F9=7,G9=1382),A100*12.5,IF(AND(F9=8,G9=1382),A100*12.7,IF(AND(F9=9,G9=1382),A100*12.9,IF(AND(F9=10,G9=1382),A100*13.1,IF(AND(F9=11,G9=1382),A100*13.2,IF(AND(F9=12,G9=1382),A100*13.4))))))))))))</f>
        <v>0</v>
      </c>
      <c r="Q15" s="19">
        <v>1328</v>
      </c>
    </row>
    <row r="16" spans="1:24" ht="136.5" hidden="1" customHeight="1" x14ac:dyDescent="0.25">
      <c r="A16" s="20"/>
      <c r="B16" s="20"/>
      <c r="C16" s="20"/>
      <c r="D16" s="20"/>
      <c r="E16" s="20"/>
      <c r="F16" s="20"/>
      <c r="G16" s="20"/>
      <c r="H16" s="20"/>
      <c r="I16" s="25"/>
      <c r="J16" s="25"/>
      <c r="K16" s="25"/>
      <c r="L16" s="25"/>
      <c r="M16" s="25">
        <v>1383</v>
      </c>
      <c r="N16" s="25" t="b">
        <f>IF(AND(C9=1,D9=1383),A100*13.7,IF(AND(C9=2,D9=1383),A100*13.9,IF(AND(C9=3,D9=1383),A100*14.1,IF(AND(C9=4,D9=1383),A100*14.3,IF(AND(C9=5,D9=1383),A100*14.4,IF(AND(C9=6,D9=1383),A100*14.4,IF(AND(C9=7,D9=1383),A100*14.6,IF(AND(C9=8,D9=1383),A100*14.7,IF(AND(C9=9,D9=1383),A100*14.8,IF(AND(C9=10,D9=1383),A100*15,IF(AND(C9=11,D9=1383),A100*15.2,IF(AND(C9=12,D9=1383),A100*15.5))))))))))))</f>
        <v>0</v>
      </c>
      <c r="O16" s="25" t="b">
        <f>IF(AND(F9=1,G9=1383),A100*13.7,IF(AND(F9=2,G9=1383),A100*13.9,IF(AND(F9=3,G9=1383),A100*14.1,IF(AND(F9=4,G9=1383),A100*14.3,IF(AND(F9=5,G9=1383),A100*14.4,IF(AND(F9=6,G9=1383),A100*14.4,IF(AND(F9=7,G9=1383),A100*14.6,IF(AND(F9=8,G9=1383),A100*14.7,IF(AND(F9=9,G9=1383),A100*14.8,IF(AND(F9=10,G9=1383),A100*15,IF(AND(F9=11,G9=1383),A100*15.2,IF(AND(F9=12,G9=1383),A100*15.5))))))))))))</f>
        <v>0</v>
      </c>
      <c r="P16" s="25"/>
      <c r="Q16" s="25">
        <v>1329</v>
      </c>
      <c r="R16" s="25"/>
      <c r="S16" s="25"/>
      <c r="T16" s="25"/>
      <c r="U16" s="25"/>
      <c r="V16" s="25"/>
      <c r="W16" s="25"/>
      <c r="X16" s="20"/>
    </row>
    <row r="17" spans="1:19" x14ac:dyDescent="0.25">
      <c r="A17" s="20"/>
      <c r="B17" s="20"/>
      <c r="C17" s="20"/>
      <c r="D17" s="20"/>
      <c r="E17" s="20"/>
      <c r="F17" s="20"/>
      <c r="G17" s="20"/>
      <c r="H17" s="20"/>
      <c r="I17" s="25"/>
      <c r="M17" s="19">
        <v>1384</v>
      </c>
      <c r="N17" s="19" t="b">
        <f>IF(AND(C9=1,D9=1384),A100*16,IF(AND(C9=2,D9=1384),A100*15.9,IF(AND(C9=3,D9=1384),A100*15.8,IF(AND(C9=4,D9=1384),A100*15.7,IF(AND(C9=5,D9=1384),A100*15.7,IF(AND(C9=6,D9=1384),A100*15.8,IF(AND(C9=7,D9=1384),A100*15.9,IF(AND(C9=8,D9=1384),A100*16,IF(AND(C9=9,D9=1384),A100*16.2,IF(AND(C9=10,D9=1384),A100*16.3,IF(AND(C9=11,D9=1384),A100*16.5,IF(AND(C9=12,D9=1384),A100*16.7))))))))))))</f>
        <v>0</v>
      </c>
      <c r="O17" s="19" t="b">
        <f>IF(AND(F9=1,G9=1384),A100*16,IF(AND(F9=2,G9=1384),A100*15.9,IF(AND(F9=3,G9=1384),A100*15.8,IF(AND(F9=4,G9=1384),A100*15.7,IF(AND(F9=5,G9=1384),A100*15.7,IF(AND(F9=6,G9=1384),A100*15.8,IF(AND(F9=7,G9=1384),A100*15.9,IF(AND(F9=8,G9=1384),A100*16,IF(AND(F9=9,G9=1384),A100*16.2,IF(AND(F9=10,G9=1384),A100*16.3,IF(AND(F9=11,G9=1384),A100*16.5,IF(AND(F9=12,G9=1384),A100*16.7))))))))))))</f>
        <v>0</v>
      </c>
      <c r="Q17" s="19">
        <v>1330</v>
      </c>
    </row>
    <row r="18" spans="1:19" ht="15" customHeight="1" x14ac:dyDescent="0.4">
      <c r="B18" s="20"/>
      <c r="C18" s="28"/>
      <c r="D18" s="191" t="s">
        <v>35</v>
      </c>
      <c r="E18" s="216" t="s">
        <v>28</v>
      </c>
      <c r="F18" s="193" t="s">
        <v>36</v>
      </c>
      <c r="G18" s="28"/>
      <c r="H18" s="20"/>
      <c r="M18" s="19">
        <v>1385</v>
      </c>
      <c r="N18" s="19" t="b">
        <f>IF(AND(C9=1,D9=1385),A100*16.9,IF(AND(C9=2,D9=1385),A100*17,IF(AND(C9=3,D9=1385),A100*17.3,IF(AND(C9=4,D9=1385),A100*17.3,IF(AND(C9=5,D9=1385),A100*17.4,IF(AND(C9=6,D9=1385),A100*17.7,IF(AND(C9=7,D9=1385),A100*17.9,IF(AND(C9=8,D9=1385),A100*18.1,IF(AND(C9=9,D9=1385),A100*18.5,IF(AND(C9=10,D9=1385),A100*18.9,IF(AND(C9=11,D9=1385),A100*19.2,IF(AND(C9=12,D9=1385),A100*19.4))))))))))))</f>
        <v>0</v>
      </c>
      <c r="O18" s="19" t="b">
        <f>IF(AND(F9=1,G9=1385),A100*16.9,IF(AND(F9=2,G9=1385),A100*17,IF(AND(F9=3,G9=1385),A100*17.3,IF(AND(F9=4,G9=1385),A100*17.3,IF(AND(F9=5,G9=1385),A100*17.4,IF(AND(F9=6,G9=1385),A100*17.7,IF(AND(C9=7,G9=1385),A100*17.9,IF(AND(F9=8,G9=1385),A100*18.1,IF(AND(F9=9,G9=1385),A100*18.5,IF(AND(F9=10,G9=1385),A100*18.9,IF(AND(F9=11,G9=1385),A100*19.2,IF(AND(F9=12,G9=1385),A100*19.4))))))))))))</f>
        <v>0</v>
      </c>
      <c r="Q18" s="19">
        <v>1331</v>
      </c>
      <c r="R18" s="19" t="b">
        <f>IF(AND(C23=1331),A100*0.024,IF(AND(C23=1332),A100*0.028,IF(AND(C23=1333),A100*0.032,IF(AND(C23=1334),A100*0.032,IF(AND(C23=1335),A100*0.036,IF(AND(C23=1336),A100*0.036,IF(AND(C23=1337),A100*0.036,IF(AND(C23=1338),A100*0.044,IF(AND(C23=1339),A100*0.048,IF(AND(C23=1340),A100*0.048))))))))))</f>
        <v>0</v>
      </c>
      <c r="S18" s="19" t="b">
        <f>IF(AND(F23=1331),A100*0.024,IF(AND(F23=1332),A100*0.028,IF(AND(F23=1333),A100*0.032,IF(AND(F23=1334),A100*0.032,IF(AND(F23=1335),A100*0.036,IF(AND(F23=1336),A100*0.036,IF(AND(F23=1337),A100*0.036,IF(AND(F23=1338),A100*0.044,IF(AND(F23=1339),A100*0.048,IF(AND(F23=1340),A100*0.048))))))))))</f>
        <v>0</v>
      </c>
    </row>
    <row r="19" spans="1:19" ht="27" customHeight="1" x14ac:dyDescent="0.4">
      <c r="B19" s="20"/>
      <c r="C19" s="28"/>
      <c r="D19" s="192"/>
      <c r="E19" s="217"/>
      <c r="F19" s="194"/>
      <c r="G19" s="28"/>
      <c r="H19" s="20"/>
      <c r="M19" s="19">
        <v>1386</v>
      </c>
      <c r="N19" s="19" t="b">
        <f>IF(AND(C9=1,D9=1386),A100*19.7,IF(AND(C9=2,D9=1386),A100*19.8,IF(AND(C9=3,D9=1386),A100*20.1,IF(AND(C9=4,D9=1386),A100*20.2,IF(AND(C9=5,D9=1386),A100*20.4,IF(AND(C9=6,D9=1386),A100*20.9,IF(AND(C9=7,D9=1386),A100*21.2,IF(AND(C9=8,D9=1386),A100*21.6,IF(AND(C9=9,D9=1386),A100*22.2,IF(AND(C9=10,D9=1386),A100*22.5,IF(AND(C9=11,D9=1386),A100*23,IF(AND(C9=12,D9=1386),A100*23.7))))))))))))</f>
        <v>0</v>
      </c>
      <c r="O19" s="19" t="b">
        <f>IF(AND(F9=1,G9=1386),A100*19.7,IF(AND(F9=2,G9=1386),A100*19.8,IF(AND(F9=3,G9=1386),A100*20.1,IF(AND(F9=4,G9=1386),A100*20.2,IF(AND(F9=5,G9=1386),A100*20.4,IF(AND(F9=6,G9=1386),A100*20.9,IF(AND(F9=7,G9=1386),A100*21.2,IF(AND(F9=8,G9=1386),A100*21.6,IF(AND(F9=9,G9=1386),A100*22.2,IF(AND(F9=10,G9=1386),A100*22.5,IF(AND(F9=11,G9=1386),A100*23,IF(AND(F9=12,G9=1386),A100*23.7))))))))))))</f>
        <v>0</v>
      </c>
      <c r="Q19" s="19">
        <v>1332</v>
      </c>
    </row>
    <row r="20" spans="1:19" x14ac:dyDescent="0.25">
      <c r="B20" s="20"/>
      <c r="C20" s="20"/>
      <c r="D20" s="20"/>
      <c r="E20" s="20"/>
      <c r="F20" s="20"/>
      <c r="G20" s="20"/>
      <c r="H20" s="20"/>
      <c r="M20" s="19">
        <v>1387</v>
      </c>
      <c r="N20" s="19" t="b">
        <f>IF(AND(C9=1,D9=1387),A100*24.4,IF(AND(C9=2,D9=1387),A100*24.8,IF(AND(C9=3,D9=1387),A100*25.4,IF(AND(C9=4,D9=1387),A100*25.5,IF(AND(C9=5,D9=1387),A100*26,IF(AND(C9=6,D9=1387),A100*27,IF(AND(C9=7,D9=1387),A100*27.5,IF(AND(C9=8,D9=1387),A100*27.7,IF(AND(C9=9,D9=1387),A100*28,IF(AND(C9=10,D9=1387),A100*27.9,IF(AND(C9=11,D9=1387),A100*27.8,IF(AND(C9=12,D9=1387),A100*27.9))))))))))))</f>
        <v>0</v>
      </c>
      <c r="O20" s="19" t="b">
        <f>IF(AND(F9=1,G9=1387),A100*24.4,IF(AND(F9=2,G9=1387),A100*24.8,IF(AND(F9=3,G9=1387),A100*25.4,IF(AND(F9=4,G9=1387),A100*25.5,IF(AND(F9=5,G9=1387),A100*26,IF(AND(F9=6,G9=1387),A100*27,IF(AND(C9=7,G9=1387),A100*27.5,IF(AND(F9=8,G9=1387),A100*27.7,IF(AND(F9=9,G9=1387),A100*28,IF(AND(F9=10,G9=1387),A100*27.9,IF(AND(F9=11,G9=1387),A100*27.8,IF(AND(F9=12,G9=1387),A100*27.9))))))))))))</f>
        <v>0</v>
      </c>
      <c r="Q20" s="19">
        <v>1333</v>
      </c>
    </row>
    <row r="21" spans="1:19" ht="29.25" customHeight="1" x14ac:dyDescent="0.25">
      <c r="B21" s="20"/>
      <c r="C21" s="20"/>
      <c r="D21" s="20"/>
      <c r="E21" s="30" t="s">
        <v>30</v>
      </c>
      <c r="F21" s="20"/>
      <c r="G21" s="20"/>
      <c r="H21" s="20"/>
      <c r="M21" s="19">
        <v>1388</v>
      </c>
      <c r="N21" s="19" t="b">
        <f>IF(AND(C9=1,D9=1388),A100*28.2,IF(AND(C9=2,D9=1388),A100*28.6,IF(AND(C9=3,D9=1388),A100*29.1,IF(AND(C9=4,D9=1388),A100*29.1,IF(AND(C9=5,D9=1388),A100*29.4,IF(AND(C9=6,D9=1388),A100*29.5,IF(AND(C9=7,D9=1388),A100*29.6,IF(AND(C9=8,D9=1388),A100*29.7,IF(AND(C9=9,D9=1388),A100*30.1,IF(AND(C9=10,D9=1388),A100*30.1,IF(AND(C9=11,D9=1388),A100*30.3,IF(AND(C9=12,D9=1388),A100*30.8))))))))))))</f>
        <v>0</v>
      </c>
      <c r="O21" s="19" t="b">
        <f>IF(AND(F9=1,G9=1388),A100*28.2,IF(AND(F9=2,G9=1388),A100*28.6,IF(AND(F9=3,G9=1388),A100*29.1,IF(AND(F9=4,G9=1388),A100*29.1,IF(AND(F9=5,G9=1388),A100*29.4,IF(AND(F9=6,G9=1388),A100*29.5,IF(AND(F9=7,G9=1388),A100*29.6,IF(AND(F9=8,G9=1388),A100*29.7,IF(AND(F9=9,G9=1388),A100*30.1,IF(AND(F9=10,G9=1388),A100*30.1,IF(AND(F9=11,G9=1388),A100*30.3,IF(AND(F9=12,G9=1388),A100*30.8))))))))))))</f>
        <v>0</v>
      </c>
      <c r="Q21" s="19">
        <v>1334</v>
      </c>
    </row>
    <row r="22" spans="1:19" ht="34.5" customHeight="1" thickBot="1" x14ac:dyDescent="0.3">
      <c r="B22" s="20"/>
      <c r="C22" s="214" t="s">
        <v>21</v>
      </c>
      <c r="D22" s="215"/>
      <c r="E22" s="164">
        <v>0</v>
      </c>
      <c r="F22" s="214" t="s">
        <v>22</v>
      </c>
      <c r="G22" s="215"/>
      <c r="H22" s="20"/>
      <c r="M22" s="19">
        <v>1389</v>
      </c>
      <c r="N22" s="19" t="b">
        <f>IF(AND(C9=1,D9=1389),A100*31.1,IF(AND(C9=2,D9=1389),A100*31.2,IF(AND(C9=3,D9=1389),A100*31.5,IF(AND(C9=4,D9=1389),A100*31.8,IF(AND(C9=5,D9=1389),A100*32.2,IF(AND(C9=6,D9=1389),A100*32.5,IF(AND(C9=7,D9=1389),A100*33.1,IF(AND(C9=8,D9=1389),A100*33.4,IF(AND(C9=9,D9=1389),A100*33.9,IF(AND(C9=10,D9=1389),A100*34.8,IF(AND(C9=11,D9=1389),A100*35.7,IF(AND(C9=12,D9=1389),A100*36.9))))))))))))</f>
        <v>0</v>
      </c>
      <c r="O22" s="19" t="b">
        <f>IF(AND(F9=1,G9=1389),A100*31.1,IF(AND(F9=2,G9=1389),A100*31.2,IF(AND(F9=3,G9=1389),A100*31.5,IF(AND(F9=4,G9=1389),A100*31.8,IF(AND(F9=5,G9=1389),A100*32.2,IF(AND(F9=6,D9=1389),A100*32.5,IF(AND(F9=7,G9=1389),A100*33.1,IF(AND(F9=8,G9=1389),A100*33.4,IF(AND(F9=9,G9=1389),A100*33.9,IF(AND(F9=10,G9=1389),A100*34.8,IF(AND(F9=11,G9=1389),A100*35.7,IF(AND(F9=12,G9=1389),A100*36.9))))))))))))</f>
        <v>0</v>
      </c>
      <c r="Q22" s="19">
        <v>1335</v>
      </c>
    </row>
    <row r="23" spans="1:19" ht="30" customHeight="1" thickTop="1" thickBot="1" x14ac:dyDescent="0.3">
      <c r="B23" s="20"/>
      <c r="C23" s="211">
        <v>1403</v>
      </c>
      <c r="D23" s="212"/>
      <c r="E23" s="147" t="s">
        <v>32</v>
      </c>
      <c r="F23" s="212">
        <v>1404</v>
      </c>
      <c r="G23" s="213"/>
      <c r="H23" s="20"/>
      <c r="M23" s="19">
        <v>1390</v>
      </c>
      <c r="N23" s="19" t="b">
        <f>IF(AND(C9=1,D9=1390),A100*37.5,IF(AND(C9=2,D9=1390),A100*38.1,IF(AND(C9=3,D9=1390),A100*38.6,IF(AND(C9=4,D9=1390),A100*38.7,IF(AND(C9=5,D9=1390),A100*39.1,IF(AND(C9=6,D9=1390),A100*39.8,IF(AND(C9=7,D9=1390),A100*40.2,IF(AND(C9=8,D9=1390),A100*40.8,IF(AND(C9=9,D9=1390),A100*41.4,IF(AND(C9=10,D9=1390),A100*42,IF(AND(C9=11,D9=1390),A100*43.1,IF(AND(C9=12,D9=1390),A100*44.5))))))))))))</f>
        <v>0</v>
      </c>
      <c r="O23" s="19" t="b">
        <f>IF(AND(F9=1,G9=1390),A100*37.5,IF(AND(F9=2,G9=1390),A100*38.1,IF(AND(F9=3,G9=1390),A100*38.6,IF(AND(F9=4,G9=1390),A100*38.7,IF(AND(F9=5,G9=1390),A100*39.1,IF(AND(F9=6,G9=1390),A100*39.8,IF(AND(F9=7,G9=1390),A100*40.2,IF(AND(F9=8,G9=1390),A100*40.8,IF(AND(F9=9,G9=1390),A100*41.4,IF(AND(F9=10,G9=1390),A100*42,IF(AND(F9=11,G9=1390),A100*43.1,IF(AND(F9=12,G9=1390),A100*44.5))))))))))))</f>
        <v>0</v>
      </c>
      <c r="Q23" s="19">
        <v>1336</v>
      </c>
    </row>
    <row r="24" spans="1:19" ht="19.5" thickTop="1" x14ac:dyDescent="0.25">
      <c r="B24" s="20"/>
      <c r="C24" s="20"/>
      <c r="D24" s="20"/>
      <c r="E24" s="31" t="s">
        <v>38</v>
      </c>
      <c r="F24" s="177" t="s">
        <v>270</v>
      </c>
      <c r="G24" s="178" t="s">
        <v>277</v>
      </c>
      <c r="H24" s="20"/>
      <c r="M24" s="19">
        <v>1391</v>
      </c>
      <c r="N24" s="19" t="b">
        <f>IF(AND(C9=1,D9=1391),A100*45.5,IF(AND(C9=2,D9=1391),A100*46.6,IF(AND(C9=3,D9=1391),A100*47.1,IF(AND(C9=4,D9=1391),A100*48.1,IF(AND(C9=5,D9=1391),A100*48.9,IF(AND(C9=6,D9=1391),A100*50.3,IF(AND(C9=7,D9=1391),A100*52.7,IF(AND(C9=8,D9=1391),A100*55.2,IF(AND(C9=9,D9=1391),A100*56.4,IF(AND(C9=10,D9=1391),A100*57.5,IF(AND(C9=11,D9=1391),A100*60.5,IF(AND(C9=12,D9=1391),A100*62.9))))))))))))</f>
        <v>0</v>
      </c>
      <c r="O24" s="19" t="b">
        <f>IF(AND(F9=1,G9=1391),A100*45.5,IF(AND(F9=2,G9=1391),A100*46.6,IF(AND(F9=3,G9=1391),A100*47.1,IF(AND(F9=4,G9=1391),A100*48.1,IF(AND(F9=5,G9=1391),A100*48.9,IF(AND(F9=6,G9=1391),A100*50.3,IF(AND(F9=7,G9=1391),A100*52.7,IF(AND(F9=8,G9=1391),A100*55.2,IF(AND(F9=9,G9=1391),A100*56.4,IF(AND(F9=10,G9=1391),A100*57.5,IF(AND(F9=11,G9=1391),A100*60.5,IF(AND(F9=12,G9=1391),A100*62.9))))))))))))</f>
        <v>0</v>
      </c>
      <c r="Q24" s="19">
        <v>1337</v>
      </c>
    </row>
    <row r="25" spans="1:19" ht="18.75" x14ac:dyDescent="0.25">
      <c r="B25" s="20"/>
      <c r="C25" s="20"/>
      <c r="D25" s="20"/>
      <c r="E25" s="23">
        <f>IF(AND(S93&gt;0),S93/R93*E22-E22,IF(AND(S93=0),"شاخص اعلام نشده است"))</f>
        <v>0</v>
      </c>
      <c r="F25" s="20"/>
      <c r="G25" s="20"/>
      <c r="H25" s="20"/>
      <c r="M25" s="19">
        <v>1392</v>
      </c>
      <c r="N25" s="19" t="b">
        <f>IF(AND(C9=1,D9=1392),A100*64.7,IF(AND(C9=2,D9=1392),A100*66,IF(AND(C9=3,D9=1392),A100*68.3,IF(AND(C9=4,D9=1392),A100*69.2,IF(AND(C9=5,D9=1392),A100*70,IF(AND(C9=6,D9=1392),A100*71.2,IF(AND(C9=7,D9=1392),A100*72.1,IF(AND(C9=8,D9=1392),A100*72.8,IF(AND(C9=9,D9=1392),A100*73.1,IF(AND(C9=10,D9=1392),A100*74,IF(AND(C9=11,D9=1392),A100*74.3,IF(AND(C9=12,D9=1392),A100*75.2))))))))))))</f>
        <v>0</v>
      </c>
      <c r="O25" s="19" t="b">
        <f>IF(AND(F9=1,G9=1392),A100*64.7,IF(AND(F9=2,G9=1392),A100*66,IF(AND(F9=3,G9=1392),A100*68.3,IF(AND(F9=4,G9=1392),A100*69.2,IF(AND(F9=5,G9=1392),A100*70,IF(AND(F9=6,G9=1392),A100*71.2,IF(AND(F9=7,G9=1392),A100*72.1,IF(AND(F9=8,G9=1392),A100*72.8,IF(AND(F9=9,G9=1392),A100*73.1,IF(AND(F9=10,G9=1392),A100*74,IF(AND(F9=11,G9=1392),A100*74.3,IF(AND(F9=12,G9=1392),A100*75.2))))))))))))</f>
        <v>0</v>
      </c>
      <c r="Q25" s="19">
        <v>1338</v>
      </c>
    </row>
    <row r="26" spans="1:19" ht="18.75" x14ac:dyDescent="0.3">
      <c r="B26" s="20"/>
      <c r="C26" s="20"/>
      <c r="D26" s="20"/>
      <c r="E26" s="26" t="s">
        <v>39</v>
      </c>
      <c r="F26" s="20"/>
      <c r="G26" s="20"/>
      <c r="H26" s="20"/>
      <c r="M26" s="19">
        <v>1393</v>
      </c>
      <c r="N26" s="19" t="b">
        <f>IF(AND(C9=1,D9=1393),A100*76,IF(AND(C9=2,D9=1393),A100*76.9,IF(AND(C9=3,D9=1393),A100*78.2,IF(AND(C9=4,D9=1393),A100*79.3,IF(AND(C9=5,D9=1393),A100*80.4,IF(AND(C9=6,D9=1393),A100*81.4,IF(AND(C9=7,D9=1393),A100*82.6,IF(AND(C9=8,D9=1393),A100*83.8,IF(AND(C9=9,D9=1393),A100*85.4,IF(AND(C9=10,D9=1393),A100*85.6,IF(AND(C9=11,D9=1393),A100*86.3,IF(AND(C9=12,D9=1393),A100*87.4))))))))))))</f>
        <v>0</v>
      </c>
      <c r="O26" s="19" t="b">
        <f>IF(AND(F9=1,G9=1393),A100*76,IF(AND(F9=2,G9=1393),A100*76.9,IF(AND(F9=3,G9=1393),A100*78.2,IF(AND(F9=4,G9=1393),A100*79.3,IF(AND(F9=5,G9=1393),A100*80.4,IF(AND(F9=6,G9=1393),A100*81.4,IF(AND(F9=7,G9=1393),A100*82.6,IF(AND(F9=8,G9=1393),A100*83.8,IF(AND(F9=9,G9=1393),A100*85.4,IF(AND(F9=10,G9=1393),A100*85.6,IF(AND(F9=11,G9=1393),A100*86.3,IF(AND(C9=12,G9=1393),A100*87.4))))))))))))</f>
        <v>0</v>
      </c>
      <c r="Q26" s="19">
        <v>1339</v>
      </c>
    </row>
    <row r="27" spans="1:19" ht="18.75" x14ac:dyDescent="0.25">
      <c r="B27" s="20"/>
      <c r="C27" s="20"/>
      <c r="D27" s="20"/>
      <c r="E27" s="23">
        <f>IF(AND(S93&gt;0),S93/R93*E22,IF(AND(S93=0),"شاخص اعلام نشده است"))</f>
        <v>0</v>
      </c>
      <c r="F27" s="20"/>
      <c r="G27" s="20"/>
      <c r="H27" s="20"/>
      <c r="M27" s="19">
        <v>1394</v>
      </c>
      <c r="N27" s="19" t="b">
        <f>IF(AND(C9=1,D9=1394),A100*88.5,IF(AND(C9=2,D9=1394),A100*89.4,IF(AND(C9=3,D9=1394),A100*90.9,IF(AND(C9=4,D9=1394),A100*90.6,IF(AND(C9=5,D9=1394),A100*90.5,IF(AND(C9=6,D9=1394),A100*91,IF(AND(C9=7,D9=1394),A100*91.5,IF(AND(C9=8,D9=1394),A100*92.2,IF(AND(C9=9,D9=1394),A100*93.4,IF(AND(C9=10,D9=1394),A100*93.8,IF(AND(C9=11,D9=1394),A100*94,IF(AND(C9=12,D9=1394),A100*94.7))))))))))))</f>
        <v>0</v>
      </c>
      <c r="O27" s="19" t="b">
        <f>IF(AND(F9=1,G9=1394),A100*88.5,IF(AND(F9=2,G9=1394),A100*89.4,IF(AND(F9=3,G9=1394),A100*90.9,IF(AND(F9=4,G9=1394),A100*90.6,IF(AND(F9=5,G9=1394),A100*90.5,IF(AND(F9=6,G9=1394),A100*91,IF(AND(F9=7,G9=1394),A100*91.5,IF(AND(F9=8,G9=1394),A100*92.2,IF(AND(F9=9,G9=1394),A100*93.4,IF(AND(F9=10,G9=1394),A100*93.8,IF(AND(F9=11,G9=1394),A100*94,IF(AND(F9=12,G9=1394),A100*94.7))))))))))))</f>
        <v>0</v>
      </c>
      <c r="Q27" s="19">
        <v>1340</v>
      </c>
    </row>
    <row r="28" spans="1:19" x14ac:dyDescent="0.25">
      <c r="B28" s="20"/>
      <c r="C28" s="20"/>
      <c r="D28" s="20"/>
      <c r="E28" s="20"/>
      <c r="F28" s="20"/>
      <c r="G28" s="20"/>
      <c r="H28" s="20"/>
      <c r="M28" s="19">
        <v>1395</v>
      </c>
      <c r="N28" s="19" t="b">
        <f>IF(AND(C9=1,D9=1395),A100*95,IF(AND(C9=2,D9=1395),A100*96.3,IF(AND(C9=3,D9=1395),A100*97.7,IF(AND(C9=4,D9=1395),A100*98.3,IF(AND(C9=5,D9=1395),A100*99.2,IF(AND(C9=6,D9=1395),A100*99.6,IF(AND(C9=7,D9=1395),A100*100,IF(AND(C9=8,D9=1395),A100*100.2,IF(AND(C9=9,D9=1395),A100*101.7,IF(AND(C9=10,D9=1395),A100*102.5,IF(AND(C9=11,D9=1395),A100*103.7,IF(AND(C9=12,D9=1395),A100*105.9))))))))))))</f>
        <v>0</v>
      </c>
      <c r="O28" s="19" t="b">
        <f>IF(AND(F9=1,G9=1395),A100*95,IF(AND(F9=2,G9=1395),A100*96.3,IF(AND(F9=3,G9=1395),A100*97.7,IF(AND(F9=4,G9=1395),A100*98.3,IF(AND(F9=5,G9=1395),A100*99.2,IF(AND(F9=6,G9=1395),A100*99.6,IF(AND(F9=7,G9=1395),A100*100,IF(AND(F9=8,G9=1395),A100*100.2,IF(AND(F9=9,G9=1395),A100*101.7,IF(AND(F9=10,G9=1395),A100*102.5,IF(AND(F9=11,G9=1395),A100*103.7,IF(AND(F9=12,G9=1395),A100*105.9))))))))))))</f>
        <v>0</v>
      </c>
      <c r="Q28" s="19">
        <v>1341</v>
      </c>
      <c r="R28" s="19" t="b">
        <f>IF(AND(C23=1341),A100*0.048,IF(AND(C23=1342),A100*0.048,IF(AND(C23=1343),A100*0.052,IF(AND(C23=1344),A100*0.052,IF(AND(C23=1345),A100*0.052,IF(AND(C23=1346),A100*0.052,IF(AND(C23=1347),A100*0.052,IF(AND(C23=1348),A100*0.052,IF(AND(C23=1349),A100*0.056,IF(AND(C23=1350),A100*0.056))))))))))</f>
        <v>0</v>
      </c>
      <c r="S28" s="19" t="b">
        <f>IF(AND(F23=1341),A100*0.048,IF(AND(F23=1342),A100*0.048,IF(AND(F23=1343),A100*0.052,IF(AND(F23=1344),A100*0.052,IF(AND(F23=1345),A100*0.052,IF(AND(F23=1346),A100*0.052,IF(AND(F23=1347),A100*0.052,IF(AND(F23=1348),A100*0.052,IF(AND(F23=1349),A100*0.056,IF(AND(F23=1350),A100*0.056))))))))))</f>
        <v>0</v>
      </c>
    </row>
    <row r="29" spans="1:19" x14ac:dyDescent="0.25">
      <c r="B29" s="20"/>
      <c r="C29" s="20"/>
      <c r="D29" s="20"/>
      <c r="E29" s="20"/>
      <c r="F29" s="20"/>
      <c r="G29" s="20"/>
      <c r="H29" s="20"/>
      <c r="M29" s="19">
        <v>1396</v>
      </c>
      <c r="N29" s="19" t="b">
        <f>IF(AND(C9=1,D9=1396),A100*107.1,IF(AND(C9=2,D9=1396),A100*107.1,IF(AND(C9=3,D9=1396),A100*107.8,IF(AND(C9=4,D9=1396),A100*107.5,IF(AND(C9=5,D9=1396),A100*107.7,IF(AND(C9=6,D9=1396),A100*108,IF(AND(C9=7,D9=1396),A100*108.4,IF(AND(C9=8,D9=1396),A100*109.8,IF(AND(C9=9,D9=1396),A100*111.9,IF(AND(C9=10,D9=1396),A100*112.4,IF(AND(C9=11,D9=1396),A100*113.4,IF(AND(C9=12,D9=1396),A100*114.7))))))))))))</f>
        <v>0</v>
      </c>
      <c r="O29" s="19" t="b">
        <f>IF(AND(F9=1,G9=1396),A100*107.1,IF(AND(F9=2,G9=1396),A100*107.1,IF(AND(F9=3,G9=1396),A100*107.8,IF(AND(F9=4,G9=1396),A100*107.5,IF(AND(F9=5,G9=1396),A100*107.7,IF(AND(F9=6,G9=1396),A100*108,IF(AND(F9=7,G9=1396),A100*108.4,IF(AND(F9=8,G9=1396),A100*109.8,IF(AND(F9=9,G9=1396),A100*111.9,IF(AND(F9=10,G9=1396),A100*112.4,IF(AND(F9=11,G9=1396),A100*113.4,IF(AND(F9=12,G9=1396),A100*114.7))))))))))))</f>
        <v>0</v>
      </c>
      <c r="Q29" s="19">
        <v>1342</v>
      </c>
    </row>
    <row r="30" spans="1:19" hidden="1" x14ac:dyDescent="0.25">
      <c r="M30" s="19">
        <v>1397</v>
      </c>
      <c r="N30" s="19" t="b">
        <f>IF(AND(C9=1,D9=1397),A100*115.6,IF(AND(C9=2,D9=1397),A100*117.5,IF(AND(C9=3,D9=1397),A100*122.6,IF(AND(C9=4,D9=1397),A100*126.8,IF(AND(C9=5,D9=1397),A100*133.8,IF(AND(C9=6,D9=1397),A100*141.9,IF(AND(C9=7,D9=1397),A100*148.4,IF(AND(C9=8,D9=1397),A100*153.6,IF(AND(C9=9,D9=1397),A100*159.3,IF(AND(C9=10,D9=1397),A100*162.1,IF(AND(C9=11,D9=1397),A100*167.7,IF(AND(C9=12,D9=1397),A100*176.7))))))))))))</f>
        <v>0</v>
      </c>
      <c r="O30" s="19" t="b">
        <f>IF(AND(F9=1,G9=1397),A100*115.6,IF(AND(F9=2,G9=1397),A100*117.5,IF(AND(F9=3,G9=1397),A100*122.6,IF(AND(F9=4,G9=1397),A100*126.8,IF(AND(F9=5,G9=1397),A100*133.8,IF(AND(F9=6,G9=1397),A100*141.9,IF(AND(F9=7,G9=1397),A100*148.4,IF(AND(F9=8,G9=1397),A100*153.6,IF(AND(F9=9,D9=1397),A100*159.3,IF(AND(F9=10,G9=1397),A100*162.1,IF(AND(F9=11,G9=1397),A100*167.7,IF(AND(F9=12,G9=1397),A100*176.7))))))))))))</f>
        <v>0</v>
      </c>
      <c r="Q30" s="19">
        <v>1343</v>
      </c>
    </row>
    <row r="31" spans="1:19" hidden="1" x14ac:dyDescent="0.25">
      <c r="M31" s="19">
        <v>1398</v>
      </c>
      <c r="N31" s="19" t="b">
        <f>IF(AND(C9=1,D9=1398),A100*182.7,IF(AND(C9=2,D9=1398),A100*188.2,IF(AND(C9=3,D9=1398),A100*192.6,IF(AND(C9=4,D9=1398),A100*196.9,IF(AND(C9=5,D9=1398),A100*198.5,IF(AND(C9=6,D9=1398),A100*200.1,IF(AND(C9=7,D9=1398),A100*201.4,IF(AND(C9=8,D9=1398),A100*204.1,IF(AND(C9=9,D9=1398),A100*212.5,IF(AND(C9=10,D9=1398),A100*214.7,IF(AND(C9=11,D9=1398),A100*219.6,IF(AND(C9=12,D9=1398),A100*226.5))))))))))))</f>
        <v>0</v>
      </c>
      <c r="O31" s="19" t="b">
        <f>IF(AND(F9=1,G9=1398),A100*182.7,IF(AND(F9=2,G9=1398),A100*188.2,IF(AND(F9=3,G9=1398),A100*192.6,IF(AND(F9=4,G9=1398),A100*196.9,IF(AND(F9=5,G9=1398),A100*198.5,IF(AND(F9=6,G9=1398),A100*200.1,IF(AND(F9=7,G9=1398),A100*201.4,IF(AND(F9=8,G9=1398),A100*204.1,IF(AND(C9=9,G9=1398),A100*212.5,IF(AND(F9=10,G9=1398),A100*214.7,IF(AND(F9=11,G9=1398),A100*219.6,IF(AND(F9=12,G9=1398),A100*226.5))))))))))))</f>
        <v>0</v>
      </c>
      <c r="Q31" s="19">
        <v>1344</v>
      </c>
    </row>
    <row r="32" spans="1:19" hidden="1" x14ac:dyDescent="0.25">
      <c r="I32" s="27"/>
      <c r="J32" s="27"/>
      <c r="M32" s="19">
        <v>1399</v>
      </c>
      <c r="N32" s="19" t="b">
        <f>IF(AND(C9=1,D9=1399),A100*229.9,IF(AND(C9=2,D9=1399),A100*240.2,IF(AND(C9=3,D9=1399),A100*249.8,IF(AND(C9=4,D9=1399),A100*261.8,IF(AND(C9=5,D9=1399),A100*270.8,IF(AND(C9=6,D9=1399),A100*281.3,IF(AND(C9=7,D9=1399),A100*302.8,IF(AND(C9=8,D9=1399),A100*326.1,IF(AND(C9=9,D9=1399),A100*338.9,IF(AND(C9=10,D9=1399),A100*347.5,IF(AND(C9=11,D9=1399),A100*363,IF(AND(C9=12,D9=1399),A100*374))))))))))))</f>
        <v>0</v>
      </c>
      <c r="O32" s="19" t="b">
        <f>IF(AND(F9=1,G9=1399),A100*229.9,IF(AND(F9=2,G9=1399),A100*240.2,IF(AND(F9=3,G9=1399),A100*249.8,IF(AND(F9=4,G9=1399),A100*261.8,IF(AND(F9=5,G9=1399),A100*270.8,IF(AND(F9=6,G9=1399),A100*281.3,IF(AND(F9=7,G9=1399),A100*302.8,IF(AND(F9=8,G9=1399),A100*326.1,IF(AND(F9=9,G9=1399),A100*338.9,IF(AND(F9=10,G9=1399),A100*347.5,IF(AND(F9=11,G9=1399),A100*363,IF(AND(F9=12,G9=1399),A100*374))))))))))))</f>
        <v>0</v>
      </c>
      <c r="Q32" s="19">
        <v>1345</v>
      </c>
    </row>
    <row r="33" spans="2:19" hidden="1" x14ac:dyDescent="0.25">
      <c r="B33" s="20"/>
      <c r="C33" s="20"/>
      <c r="D33" s="20"/>
      <c r="E33" s="20"/>
      <c r="F33" s="20"/>
      <c r="G33" s="20"/>
      <c r="H33" s="20"/>
      <c r="I33" s="27"/>
      <c r="J33" s="27"/>
      <c r="M33" s="19">
        <v>1400</v>
      </c>
      <c r="N33" s="19" t="b">
        <f>IF(AND(C9=1,D9=1400),A100*378.2,IF(AND(C9=2,D9=1400),A100*382,IF(AND(C9=3,D9=1400),A100*399.2,IF(AND(C9=4,D9=1400),A100*410,IF(AND(C9=5,D9=1400),A100*421.7,IF(AND(C9=6,D9=1400),A100*435.6,IF(AND(C9=7,D9=1400),A100*448.9,IF(AND(C9=8,D9=1400),A100*459.7,IF(AND(C9=9,D9=1400),A100*468.2,IF(AND(C9=10,D9=1400),A100*474.2,IF(AND(C9=11,D9=1400),A100*482,IF(AND(C9=12,D9=1400),A100*484.6))))))))))))</f>
        <v>0</v>
      </c>
      <c r="O33" s="19" t="b">
        <f>IF(AND(F9=1,G9=1400),A100*378.2,IF(AND(F9=2,G9=1400),A100*382,IF(AND(F9=3,G9=1400),A100*399.2,IF(AND(F9=4,G9=1400),A100*410,IF(AND(F9=5,G9=1400),A100*421.7,IF(AND(F9=6,G9=1400),A100*435.6,IF(AND(F9=7,G9=1400),A100*448.9,IF(AND(F9=8,G9=1400),A100*459.7,IF(AND(F9=9,G9=1400),A100*468.2,IF(AND(F9=10,G9=1400),A100*474.2,IF(AND(F9=11,G9=1400),A100*482,IF(AND(F9=12,G9=1400),A100*484.6))))))))))))</f>
        <v>0</v>
      </c>
      <c r="Q33" s="19">
        <v>1346</v>
      </c>
    </row>
    <row r="34" spans="2:19" ht="15.75" hidden="1" x14ac:dyDescent="0.25">
      <c r="B34" s="199"/>
      <c r="C34" s="199"/>
      <c r="D34" s="199"/>
      <c r="E34" s="199"/>
      <c r="F34" s="199"/>
      <c r="G34" s="199"/>
      <c r="H34" s="199"/>
      <c r="I34" s="27"/>
      <c r="J34" s="27"/>
      <c r="M34" s="19">
        <v>1401</v>
      </c>
      <c r="N34" s="19" t="b">
        <f>IF(AND(C9=1,D9=1401),A100*495.1,IF(AND(C9=2,D9=1401),A100*520.4,IF(AND(C9=3,D9=1401),A100*575.4,IF(AND(C9=4,D9=1401),A100*600.4,IF(AND(C9=5,D9=1401),A100*614.8,IF(AND(C9=6,D9=1401),A100*631,IF(AND(C9=7,D9=1401),A100*649.5,IF(AND(C9=8,D9=1401),A100*663.5,IF(AND(C9=9,D9=1401),A100*679.8,IF(AND(C9=10,D9=1401),A100*713.4,IF(AND(C9=11,D9=1401),A100*745,IF(AND(C9=12,D9=1401),A100*794.3))))))))))))</f>
        <v>0</v>
      </c>
      <c r="O34" s="19" t="b">
        <f>IF(AND(F9=1,G9=1401),A100*495.1,IF(AND(F9=2,G9=1401),A100*520.4,IF(AND(F9=3,G9=1401),A100*575.4,IF(AND(F9=4,G9=1401),A100*600.4,IF(AND(F9=5,G9=1401),A100*614.8,IF(AND(F9=6,G9=1401),A100*631,IF(AND(F9=7,G9=1401),A100*649.5,IF(AND(F9=8,G9=1401),A100*663.5,IF(AND(F9=9,G9=1401),A100*679.8,IF(AND(F9=10,G9=1401),A100*713.4,IF(AND(F9=11,G9=1401),A100*745,IF(AND(F9=12,G9=1401),A100*794.3))))))))))))</f>
        <v>0</v>
      </c>
      <c r="Q34" s="19">
        <v>1347</v>
      </c>
    </row>
    <row r="35" spans="2:19" hidden="1" x14ac:dyDescent="0.25">
      <c r="B35" s="195"/>
      <c r="C35" s="195"/>
      <c r="D35" s="195"/>
      <c r="E35" s="195"/>
      <c r="F35" s="195"/>
      <c r="G35" s="195"/>
      <c r="H35" s="195"/>
      <c r="I35" s="27"/>
      <c r="J35" s="27"/>
      <c r="M35" s="19">
        <v>1402</v>
      </c>
      <c r="N35" s="19" t="b">
        <f>IF(AND(C9=1,D9=1402),A100*834.9,IF(AND(C9=2,D9=1402),A100*858.3,IF(AND(C9=3,D9=1402),A100*885.8,IF(AND(C9=4,D9=1402),A100*908.8,IF(AND(C9=5,D9=1402),A100*940.6,IF(AND(C9=6,D9=1402),A100*971.6,IF(AND(C9=7,D9=1402),A100*995.9,IF(AND(C9=8,D9=1402),A100*1014.8,IF(AND(C9=9,D9=1402),A100*1048.3,IF(AND(C9=10,D9=1402),A100*1066.1,IF(AND(C9=11,D9=1402),A100*1076,IF(AND(C9=12,D9=1402),A100*1097.3))))))))))))</f>
        <v>0</v>
      </c>
      <c r="O35" s="19" t="b">
        <f>IF(AND(F9=1,G9=1402),A100*834.9,IF(AND(F9=2,G9=1402),A100*858.3,IF(AND(F9=3,G9=1402),A100*885.8,IF(AND(F9=4,G9=1402),A100*908.8,IF(AND(F9=5,G9=1402),A100*940.6,IF(AND(F9=6,G9=1402),A100*971.6,IF(AND(F9=7,G9=1402),A100*995.9,IF(AND(F9=8,G9=1402),A100*1014.8,IF(AND(F9=9,G9=1402),A100*1048.3,IF(AND(F9=10,G9=1402),A100*1066.1,IF(AND(F9=11,G9=1402),A100*1076,IF(AND(F9=12,G9=1402),A100*1097.3))))))))))))</f>
        <v>0</v>
      </c>
      <c r="Q35" s="19">
        <v>1348</v>
      </c>
    </row>
    <row r="36" spans="2:19" hidden="1" x14ac:dyDescent="0.25">
      <c r="B36" s="196"/>
      <c r="C36" s="196"/>
      <c r="D36" s="196"/>
      <c r="E36" s="196"/>
      <c r="F36" s="196"/>
      <c r="G36" s="196"/>
      <c r="H36" s="196"/>
      <c r="I36" s="27"/>
      <c r="J36" s="27"/>
      <c r="M36" s="19">
        <v>1403</v>
      </c>
      <c r="N36" s="19" t="b">
        <f>IF(AND(C9=1,D9=1403),A100*1125.8,IF(AND(C9=2,D9=1403),A100*1159.6,IF(AND(C9=3,D9=1403),A100*1206,IF(AND(C9=4,D9=1403),A100*1242.2,IF(AND(C9=5,D9=1403),A100*1277,IF(AND(C9=6,D9=1403),A100*1306.4,IF(AND(C9=7,D9=1403),A100*1339.1,IF(AND(C9=8,D9=1403),A100*1379.3,IF(AND(C9=9,D9=1403),A100*0,IF(AND(C9=10,D9=1403),A100*0,IF(AND(C9=11,D9=1403),A100*0,IF(AND(C9=12,D9=1403),A100*0))))))))))))</f>
        <v>0</v>
      </c>
      <c r="O36" s="19" t="b">
        <f>IF(AND(F9=1,G9=1403),A100*1125.8,IF(AND(F9=2,G9=1403),A100*1159.6,IF(AND(F9=3,G9=1403),A100*1206,IF(AND(F9=4,G9=1403),A100*1242.2,IF(AND(F9=5,G9=1403),A100*1277,IF(AND(F9=6,G9=1403),A100*1306.4,IF(AND(F9=7,G9=1403),A100*1339.1,IF(AND(F9=8,G9=1403),A100*1379.3))))))))</f>
        <v>0</v>
      </c>
      <c r="Q36" s="19">
        <v>1349</v>
      </c>
    </row>
    <row r="37" spans="2:19" hidden="1" x14ac:dyDescent="0.25">
      <c r="B37" s="20"/>
      <c r="C37" s="20"/>
      <c r="D37" s="20"/>
      <c r="E37" s="20"/>
      <c r="F37" s="20"/>
      <c r="G37" s="20"/>
      <c r="H37" s="20"/>
      <c r="I37" s="27"/>
      <c r="J37" s="27"/>
      <c r="M37" s="19">
        <v>71</v>
      </c>
      <c r="N37" s="19" t="b">
        <f>IF(AND(C9=1,D9=1371),A100*1.4,IF(AND(C9=2,D9=1371),A100*1.4,IF(AND(C9=3,D9=1371),A100*1.4,IF(AND(C9=4,D9=1371),A100*1.4,IF(AND(C9=5,D9=1371),A100*1.5,IF(AND(C9=6,D9=1371),A100*1.5,IF(AND(C9=7,D9=1371),A100*1.5,IF(AND(C9=8,D9=1371),A100*1.5,IF(AND(C9=9,D9=1371),A100*1.5,IF(AND(C9=10,D9=1371),A100*1.5,IF(AND(C9=11,D9=1371),A100*1.6,IF(AND(C9=12,D9=1371),A100*1.6))))))))))))</f>
        <v>0</v>
      </c>
      <c r="Q37" s="19">
        <v>1350</v>
      </c>
    </row>
    <row r="38" spans="2:19" hidden="1" x14ac:dyDescent="0.25">
      <c r="I38" s="27"/>
      <c r="J38" s="27"/>
      <c r="Q38" s="19">
        <v>1351</v>
      </c>
      <c r="R38" s="19" t="b">
        <f>IF(AND(C23=1351),A100*0.06,IF(AND(C23=1352),A100*0.069,IF(AND(C23=1353),A100*0.0077,IF(AND(C23=1354),A100*0.085,IF(AND(C23=1355),A100*0.101,IF(AND(C23=1356),A100*0.125,IF(AND(C23=1357),A100*0.137,IF(AND(C23=1358),A100*0.153,IF(AND(C23=1359),A100*0.19,IF(AND(C23=1360),A100*0.234))))))))))</f>
        <v>0</v>
      </c>
      <c r="S38" s="19" t="b">
        <f>IF(AND(F23=1351),A100*0.06,IF(AND(F23=1352),A100*0.069,IF(AND(F23=1353),A100*0.0077,IF(AND(F23=1354),A100*0.085,IF(AND(F23=1355),A100*0.101,IF(AND(F23=1356),A100*0.125,IF(AND(F23=1357),A100*0.137,IF(AND(F23=1358),A100*0.153,IF(AND(F23=1359),A100*0.19,IF(AND(F23=1360),A100*0.234))))))))))</f>
        <v>0</v>
      </c>
    </row>
    <row r="39" spans="2:19" hidden="1" x14ac:dyDescent="0.25">
      <c r="Q39" s="19">
        <v>1352</v>
      </c>
    </row>
    <row r="40" spans="2:19" hidden="1" x14ac:dyDescent="0.25">
      <c r="N40" s="19">
        <f>SUM(N2:N37)</f>
        <v>0</v>
      </c>
      <c r="O40" s="19">
        <f>SUM(O2:O37)</f>
        <v>0</v>
      </c>
      <c r="Q40" s="19">
        <v>1353</v>
      </c>
    </row>
    <row r="41" spans="2:19" hidden="1" x14ac:dyDescent="0.25">
      <c r="Q41" s="19">
        <v>1354</v>
      </c>
    </row>
    <row r="42" spans="2:19" hidden="1" x14ac:dyDescent="0.25">
      <c r="Q42" s="19">
        <v>1355</v>
      </c>
    </row>
    <row r="43" spans="2:19" hidden="1" x14ac:dyDescent="0.25">
      <c r="Q43" s="19">
        <v>1356</v>
      </c>
    </row>
    <row r="44" spans="2:19" hidden="1" x14ac:dyDescent="0.25">
      <c r="Q44" s="19">
        <v>1357</v>
      </c>
    </row>
    <row r="45" spans="2:19" hidden="1" x14ac:dyDescent="0.25">
      <c r="Q45" s="19">
        <v>1358</v>
      </c>
    </row>
    <row r="46" spans="2:19" hidden="1" x14ac:dyDescent="0.25">
      <c r="Q46" s="19">
        <v>1359</v>
      </c>
    </row>
    <row r="47" spans="2:19" hidden="1" x14ac:dyDescent="0.25">
      <c r="Q47" s="19">
        <v>1360</v>
      </c>
    </row>
    <row r="48" spans="2:19" hidden="1" x14ac:dyDescent="0.25">
      <c r="Q48" s="19">
        <v>1361</v>
      </c>
      <c r="R48" s="19" t="b">
        <f>IF(AND(C23=1361),A100*0.278,IF(AND(C23=1362),A100*0.319,IF(AND(C23=1363),A100*0.355,IF(AND(C23=1364),A100*0.379,IF(AND(C23=1365),A100*0.468,IF(AND(C23=1366),A100*0.597,IF(AND(C23=1367),A100*0.77,IF(AND(C23=1368),A100*0.903,IF(AND(C23=1369),A100*0.984,IF(AND(C23=1370),A100*1.189))))))))))</f>
        <v>0</v>
      </c>
      <c r="S48" s="19" t="b">
        <f>IF(AND(F23=1361),A100*0.278,IF(AND(F23=1362),A100*0.319,IF(AND(F23=1363),A100*0.355,IF(AND(F23=1364),A100*0.379,IF(AND(F23=1365),A100*0.468,IF(AND(F23=1366),A100*0.597,IF(AND(F23=1367),A100*0.77,IF(AND(F23=1368),A100*0.903,IF(AND(F23=1369),A100*0.984,IF(AND(F23=1370),A100*1.189))))))))))</f>
        <v>0</v>
      </c>
    </row>
    <row r="49" spans="17:19" hidden="1" x14ac:dyDescent="0.25">
      <c r="Q49" s="19">
        <v>1362</v>
      </c>
    </row>
    <row r="50" spans="17:19" hidden="1" x14ac:dyDescent="0.25">
      <c r="Q50" s="19">
        <v>1363</v>
      </c>
    </row>
    <row r="51" spans="17:19" hidden="1" x14ac:dyDescent="0.25">
      <c r="Q51" s="19">
        <v>1364</v>
      </c>
    </row>
    <row r="52" spans="17:19" hidden="1" x14ac:dyDescent="0.25">
      <c r="Q52" s="19">
        <v>1365</v>
      </c>
    </row>
    <row r="53" spans="17:19" hidden="1" x14ac:dyDescent="0.25">
      <c r="Q53" s="19">
        <v>1366</v>
      </c>
    </row>
    <row r="54" spans="17:19" hidden="1" x14ac:dyDescent="0.25">
      <c r="Q54" s="19">
        <v>1367</v>
      </c>
    </row>
    <row r="55" spans="17:19" hidden="1" x14ac:dyDescent="0.25">
      <c r="Q55" s="19">
        <v>1368</v>
      </c>
    </row>
    <row r="56" spans="17:19" hidden="1" x14ac:dyDescent="0.25">
      <c r="Q56" s="19">
        <v>1369</v>
      </c>
    </row>
    <row r="57" spans="17:19" hidden="1" x14ac:dyDescent="0.25">
      <c r="Q57" s="19">
        <v>1370</v>
      </c>
    </row>
    <row r="58" spans="17:19" hidden="1" x14ac:dyDescent="0.25">
      <c r="Q58" s="19">
        <v>1371</v>
      </c>
      <c r="R58" s="19" t="b">
        <f>IF(AND(C23=1371),A100*1.48,IF(AND(C23=1372),A100*1.814,IF(AND(C23=1373),A100*2.456,IF(AND(C23=1374),A100*3.665,IF(AND(C23=1375),A100*4.52,IF(AND(C23=1376),A100*5.298,IF(AND(C23=1377),A100*6.258,IF(AND(C23=1378),A100*7.516,IF(AND(C23=1379),A100*8.463,IF(AND(C23=1380),A100*9.427))))))))))</f>
        <v>0</v>
      </c>
      <c r="S58" s="19" t="b">
        <f>IF(AND(F23=1371),A100*1.48,IF(AND(F23=1372),A100*1.814,IF(AND(F23=1373),A100*2.456,IF(AND(F23=1374),A100*3.665,IF(AND(F23=1375),A100*4.52,IF(AND(F23=1376),A100*5.298,IF(AND(F23=1377),A100*6.258,IF(AND(F23=1378),A100*7.516,IF(AND(F23=1379),A100*8.463,IF(AND(F23=1380),A100*9.427))))))))))</f>
        <v>0</v>
      </c>
    </row>
    <row r="59" spans="17:19" hidden="1" x14ac:dyDescent="0.25">
      <c r="Q59" s="19">
        <v>1372</v>
      </c>
    </row>
    <row r="60" spans="17:19" hidden="1" x14ac:dyDescent="0.25">
      <c r="Q60" s="19">
        <v>1373</v>
      </c>
    </row>
    <row r="61" spans="17:19" hidden="1" x14ac:dyDescent="0.25">
      <c r="Q61" s="19">
        <v>1374</v>
      </c>
    </row>
    <row r="62" spans="17:19" hidden="1" x14ac:dyDescent="0.25">
      <c r="Q62" s="19">
        <v>1375</v>
      </c>
    </row>
    <row r="63" spans="17:19" hidden="1" x14ac:dyDescent="0.25">
      <c r="Q63" s="19">
        <v>1376</v>
      </c>
    </row>
    <row r="64" spans="17:19" hidden="1" x14ac:dyDescent="0.25">
      <c r="Q64" s="19">
        <v>1377</v>
      </c>
    </row>
    <row r="65" spans="17:19" hidden="1" x14ac:dyDescent="0.25">
      <c r="Q65" s="19">
        <v>1378</v>
      </c>
    </row>
    <row r="66" spans="17:19" hidden="1" x14ac:dyDescent="0.25">
      <c r="Q66" s="19">
        <v>1379</v>
      </c>
    </row>
    <row r="67" spans="17:19" hidden="1" x14ac:dyDescent="0.25">
      <c r="Q67" s="19">
        <v>1380</v>
      </c>
    </row>
    <row r="68" spans="17:19" hidden="1" x14ac:dyDescent="0.25">
      <c r="Q68" s="19">
        <v>1381</v>
      </c>
      <c r="R68" s="19" t="b">
        <f>IF(AND(C23=1381),A100*10.915,IF(AND(C23=1382),A100*12.664,IF(AND(C23=1383),A100*14.544,IF(AND(C23=1384),A100*16.048,IF(AND(C23=1385),A100*17.955,IF(AND(C23=1386),A100*21.265,IF(AND(C23=1387),A100*26.66,IF(AND(C23=1388),A100*29.527,IF(AND(C23=1389),A100*33.188,IF(AND(C23=1390),A100*40.321))))))))))</f>
        <v>0</v>
      </c>
      <c r="S68" s="19" t="b">
        <f>IF(AND(F23=1381),A100*10.915,IF(AND(F23=1382),A100*12.664,IF(AND(F23=1383),A100*14.544,IF(AND(F23=1384),A100*16.048,IF(AND(F23=1385),A100*17.955,IF(AND(F23=1386),A100*21.265,IF(AND(F23=1387),A100*26.66,IF(AND(F23=1388),A100*29.527,IF(AND(F23=1389),A100*33.188,IF(AND(F23=1390),A100*40.321))))))))))</f>
        <v>0</v>
      </c>
    </row>
    <row r="69" spans="17:19" hidden="1" x14ac:dyDescent="0.25">
      <c r="Q69" s="19">
        <v>1382</v>
      </c>
    </row>
    <row r="70" spans="17:19" hidden="1" x14ac:dyDescent="0.25">
      <c r="Q70" s="19">
        <v>1383</v>
      </c>
    </row>
    <row r="71" spans="17:19" hidden="1" x14ac:dyDescent="0.25">
      <c r="Q71" s="19">
        <v>1384</v>
      </c>
    </row>
    <row r="72" spans="17:19" hidden="1" x14ac:dyDescent="0.25">
      <c r="Q72" s="19">
        <v>1385</v>
      </c>
    </row>
    <row r="73" spans="17:19" hidden="1" x14ac:dyDescent="0.25">
      <c r="Q73" s="19">
        <v>1386</v>
      </c>
    </row>
    <row r="74" spans="17:19" hidden="1" x14ac:dyDescent="0.25">
      <c r="Q74" s="19">
        <v>1387</v>
      </c>
    </row>
    <row r="75" spans="17:19" hidden="1" x14ac:dyDescent="0.25">
      <c r="Q75" s="19">
        <v>1388</v>
      </c>
    </row>
    <row r="76" spans="17:19" hidden="1" x14ac:dyDescent="0.25">
      <c r="Q76" s="19">
        <v>1389</v>
      </c>
    </row>
    <row r="77" spans="17:19" hidden="1" x14ac:dyDescent="0.25">
      <c r="Q77" s="19">
        <v>1390</v>
      </c>
    </row>
    <row r="78" spans="17:19" hidden="1" x14ac:dyDescent="0.25">
      <c r="Q78" s="19">
        <v>1391</v>
      </c>
      <c r="R78" s="19" t="b">
        <f>IF(AND(C23=1391),A100*52.635,IF(AND(C23=1392),A100*70.916,IF(AND(C23=1393),A100*81.948,IF(AND(C23=1394),A100*91.714,IF(AND(C23=1395),A100*100,IF(AND(C23=1396),A100*109.65,IF(AND(C23=1397),A100*143.842,IF(AND(C23=1398),A100*203.15,IF(AND(C23=1399),A100*298.858,IF(AND(C23=1400),A100*437.042))))))))))</f>
        <v>0</v>
      </c>
      <c r="S78" s="19" t="b">
        <f>IF(AND(F23=1391),A100*52.635,IF(AND(F23=1392),A100*70.916,IF(AND(F23=1393),A100*81.948,IF(AND(F23=1394),A100*91.714,IF(AND(F23=1395),A100*100,IF(AND(F23=1396),A100*109.65,IF(AND(F23=1397),A100*143.842,IF(AND(F23=1398),A100*203.15,IF(AND(F23=1399),A100*298.858,IF(AND(F23=1400),A100*437.042))))))))))</f>
        <v>0</v>
      </c>
    </row>
    <row r="79" spans="17:19" hidden="1" x14ac:dyDescent="0.25">
      <c r="Q79" s="19">
        <v>1392</v>
      </c>
    </row>
    <row r="80" spans="17:19" hidden="1" x14ac:dyDescent="0.25">
      <c r="Q80" s="19">
        <v>1393</v>
      </c>
    </row>
    <row r="81" spans="17:19" hidden="1" x14ac:dyDescent="0.25">
      <c r="Q81" s="19">
        <v>1394</v>
      </c>
    </row>
    <row r="82" spans="17:19" hidden="1" x14ac:dyDescent="0.25">
      <c r="Q82" s="19">
        <v>1395</v>
      </c>
    </row>
    <row r="83" spans="17:19" hidden="1" x14ac:dyDescent="0.25">
      <c r="Q83" s="19">
        <v>1396</v>
      </c>
    </row>
    <row r="84" spans="17:19" hidden="1" x14ac:dyDescent="0.25">
      <c r="Q84" s="19">
        <v>1397</v>
      </c>
    </row>
    <row r="85" spans="17:19" hidden="1" x14ac:dyDescent="0.25">
      <c r="Q85" s="19">
        <v>1398</v>
      </c>
    </row>
    <row r="86" spans="17:19" hidden="1" x14ac:dyDescent="0.25">
      <c r="Q86" s="19">
        <v>1399</v>
      </c>
    </row>
    <row r="87" spans="17:19" hidden="1" x14ac:dyDescent="0.25">
      <c r="Q87" s="19">
        <v>1400</v>
      </c>
      <c r="R87" s="19">
        <f>IF(AND(C23=1401),A100*640.225,IF(AND(C23=1402),A100*974.75,IF(AND(C23=1403),A100*1324,IF(AND(C23=1404),A100*1963.5))))</f>
        <v>1324</v>
      </c>
      <c r="S87" s="19">
        <f>IF(AND(F23=1401),A100*640.225,IF(AND(F23=1402),A100*974.75,IF(AND(F23=1403),A100*1324,IF(AND(F23=1404),A100*1963.5,IF(AND(F23=1405),A100*0)))))</f>
        <v>1963.5</v>
      </c>
    </row>
    <row r="88" spans="17:19" hidden="1" x14ac:dyDescent="0.25">
      <c r="Q88" s="19">
        <v>1401</v>
      </c>
    </row>
    <row r="89" spans="17:19" hidden="1" x14ac:dyDescent="0.25">
      <c r="Q89" s="19">
        <v>1402</v>
      </c>
    </row>
    <row r="90" spans="17:19" hidden="1" x14ac:dyDescent="0.25">
      <c r="Q90" s="19">
        <v>1403</v>
      </c>
    </row>
    <row r="91" spans="17:19" hidden="1" x14ac:dyDescent="0.25">
      <c r="Q91" s="19">
        <v>1404</v>
      </c>
    </row>
    <row r="92" spans="17:19" hidden="1" x14ac:dyDescent="0.25">
      <c r="Q92" s="19">
        <v>1405</v>
      </c>
    </row>
    <row r="93" spans="17:19" hidden="1" x14ac:dyDescent="0.25">
      <c r="R93" s="19">
        <f>SUM(R2:R90)</f>
        <v>1324</v>
      </c>
      <c r="S93" s="19">
        <f>SUM(S2:S90)</f>
        <v>1963.5</v>
      </c>
    </row>
    <row r="94" spans="17:19" hidden="1" x14ac:dyDescent="0.25"/>
    <row r="95" spans="17:19" hidden="1" x14ac:dyDescent="0.25"/>
    <row r="96" spans="17:19" hidden="1" x14ac:dyDescent="0.25"/>
    <row r="97" spans="1:1" hidden="1" x14ac:dyDescent="0.25"/>
    <row r="98" spans="1:1" hidden="1" x14ac:dyDescent="0.25"/>
    <row r="99" spans="1:1" hidden="1" x14ac:dyDescent="0.25"/>
    <row r="100" spans="1:1" hidden="1" x14ac:dyDescent="0.25">
      <c r="A100" s="32">
        <v>1</v>
      </c>
    </row>
    <row r="101" spans="1:1" hidden="1" x14ac:dyDescent="0.25"/>
    <row r="102" spans="1:1" hidden="1" x14ac:dyDescent="0.25"/>
    <row r="103" spans="1:1" hidden="1" x14ac:dyDescent="0.25"/>
    <row r="104" spans="1:1" hidden="1" x14ac:dyDescent="0.25"/>
    <row r="105" spans="1:1" hidden="1" x14ac:dyDescent="0.25"/>
    <row r="106" spans="1:1" hidden="1" x14ac:dyDescent="0.25"/>
    <row r="107" spans="1:1" hidden="1" x14ac:dyDescent="0.25"/>
    <row r="108" spans="1:1" hidden="1" x14ac:dyDescent="0.25"/>
  </sheetData>
  <sheetProtection algorithmName="SHA-512" hashValue="S6n6gmp47ykRzb7jr0v2FPGUNX6KuKWyTFglT+mnyeeN9HO9Xcxii8s0swwsu3gG2a47uO4f+4GYcHSxQS5mjA==" saltValue="N9HxTc1rbDkznEYMF6aa7w==" spinCount="100000" sheet="1" objects="1" scenarios="1"/>
  <mergeCells count="10">
    <mergeCell ref="D18:D19"/>
    <mergeCell ref="F18:F19"/>
    <mergeCell ref="C23:D23"/>
    <mergeCell ref="F23:G23"/>
    <mergeCell ref="B36:H36"/>
    <mergeCell ref="B35:H35"/>
    <mergeCell ref="B34:H34"/>
    <mergeCell ref="C22:D22"/>
    <mergeCell ref="F22:G22"/>
    <mergeCell ref="E18:E19"/>
  </mergeCells>
  <dataValidations count="4">
    <dataValidation type="list" allowBlank="1" showInputMessage="1" showErrorMessage="1" sqref="C9 F9">
      <formula1>$L$2:$L$13</formula1>
    </dataValidation>
    <dataValidation type="list" allowBlank="1" showInputMessage="1" showErrorMessage="1" sqref="D9 G9">
      <formula1>$M$2:$M$36</formula1>
    </dataValidation>
    <dataValidation type="list" allowBlank="1" showInputMessage="1" showErrorMessage="1" sqref="C23:D23">
      <formula1>$Q$2:$Q$91</formula1>
    </dataValidation>
    <dataValidation type="list" allowBlank="1" showInputMessage="1" showErrorMessage="1" sqref="F23:G23">
      <formula1>$Q$2:$Q$92</formula1>
    </dataValidation>
  </dataValidations>
  <hyperlinks>
    <hyperlink ref="D18" location="'صفحه اصلی'!A1" display="صفحه اصلی"/>
  </hyperlink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3"/>
  <sheetViews>
    <sheetView showGridLines="0" showRowColHeaders="0" rightToLeft="1" workbookViewId="0">
      <selection activeCell="F2" sqref="F2:F3"/>
    </sheetView>
  </sheetViews>
  <sheetFormatPr defaultColWidth="9.140625" defaultRowHeight="15" x14ac:dyDescent="0.25"/>
  <cols>
    <col min="1" max="1" width="2.42578125" style="18" customWidth="1"/>
    <col min="2" max="2" width="2.140625" style="18" customWidth="1"/>
    <col min="3" max="3" width="4.42578125" style="18" customWidth="1"/>
    <col min="4" max="4" width="2.140625" style="18" customWidth="1"/>
    <col min="5" max="5" width="0.28515625" style="18" customWidth="1"/>
    <col min="6" max="6" width="14.7109375" style="18" customWidth="1"/>
    <col min="7" max="7" width="33.7109375" style="18" customWidth="1"/>
    <col min="8" max="8" width="14.7109375" style="18" customWidth="1"/>
    <col min="9" max="16384" width="9.140625" style="18"/>
  </cols>
  <sheetData>
    <row r="1" spans="1:14" ht="30.75" customHeight="1" x14ac:dyDescent="0.25">
      <c r="A1" s="25"/>
      <c r="B1" s="25"/>
      <c r="C1" s="112"/>
      <c r="D1" s="112"/>
      <c r="E1" s="112"/>
      <c r="F1" s="112"/>
      <c r="G1" s="112"/>
      <c r="H1" s="25"/>
      <c r="I1" s="25"/>
      <c r="J1" s="25"/>
      <c r="K1" s="25"/>
      <c r="L1" s="25"/>
      <c r="M1" s="25"/>
      <c r="N1" s="25"/>
    </row>
    <row r="2" spans="1:14" x14ac:dyDescent="0.25">
      <c r="A2" s="25"/>
      <c r="B2" s="29"/>
      <c r="C2" s="29"/>
      <c r="D2" s="29"/>
      <c r="E2" s="29"/>
      <c r="F2" s="191" t="s">
        <v>35</v>
      </c>
      <c r="G2" s="216" t="s">
        <v>3</v>
      </c>
      <c r="H2" s="193" t="s">
        <v>36</v>
      </c>
      <c r="I2" s="29"/>
      <c r="J2" s="29"/>
      <c r="K2" s="29"/>
      <c r="L2" s="29"/>
      <c r="M2" s="29"/>
      <c r="N2" s="29"/>
    </row>
    <row r="3" spans="1:14" s="25" customFormat="1" ht="27.75" customHeight="1" x14ac:dyDescent="0.25">
      <c r="C3" s="29"/>
      <c r="D3" s="29"/>
      <c r="E3" s="29"/>
      <c r="F3" s="192"/>
      <c r="G3" s="217"/>
      <c r="H3" s="194"/>
      <c r="I3" s="29"/>
      <c r="J3" s="29"/>
      <c r="K3" s="29"/>
      <c r="L3" s="29"/>
      <c r="M3" s="29"/>
    </row>
    <row r="4" spans="1:14" ht="15" customHeight="1" x14ac:dyDescent="0.25">
      <c r="B4" s="20"/>
      <c r="C4" s="13"/>
      <c r="D4" s="13"/>
      <c r="E4" s="13"/>
      <c r="F4" s="13"/>
      <c r="G4" s="12"/>
      <c r="H4" s="113"/>
    </row>
    <row r="5" spans="1:14" ht="15" customHeight="1" x14ac:dyDescent="0.25">
      <c r="G5" s="218" t="s">
        <v>34</v>
      </c>
    </row>
    <row r="6" spans="1:14" ht="16.5" customHeight="1" x14ac:dyDescent="0.25">
      <c r="G6" s="219"/>
    </row>
    <row r="7" spans="1:14" ht="30.75" customHeight="1" thickBot="1" x14ac:dyDescent="0.3">
      <c r="G7" s="165">
        <v>0</v>
      </c>
    </row>
    <row r="8" spans="1:14" ht="15" customHeight="1" thickTop="1" x14ac:dyDescent="0.25">
      <c r="G8" s="220" t="s">
        <v>32</v>
      </c>
    </row>
    <row r="9" spans="1:14" ht="19.5" customHeight="1" thickBot="1" x14ac:dyDescent="0.3">
      <c r="G9" s="221"/>
    </row>
    <row r="10" spans="1:14" ht="15" customHeight="1" thickTop="1" x14ac:dyDescent="0.25">
      <c r="F10" s="20"/>
      <c r="G10" s="222" t="s">
        <v>37</v>
      </c>
      <c r="H10" s="20"/>
    </row>
    <row r="11" spans="1:14" x14ac:dyDescent="0.25">
      <c r="F11" s="20"/>
      <c r="G11" s="222"/>
      <c r="H11" s="20"/>
    </row>
    <row r="12" spans="1:14" ht="15.75" x14ac:dyDescent="0.25">
      <c r="F12" s="20"/>
      <c r="G12" s="16">
        <f>G7*5%</f>
        <v>0</v>
      </c>
      <c r="H12" s="20"/>
    </row>
    <row r="13" spans="1:14" x14ac:dyDescent="0.25">
      <c r="F13" s="20"/>
      <c r="G13" s="20"/>
      <c r="H13" s="20"/>
    </row>
    <row r="14" spans="1:14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 ht="15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</sheetData>
  <sheetProtection password="EE61" sheet="1" objects="1" scenarios="1"/>
  <mergeCells count="6">
    <mergeCell ref="F2:F3"/>
    <mergeCell ref="H2:H3"/>
    <mergeCell ref="G5:G6"/>
    <mergeCell ref="G8:G9"/>
    <mergeCell ref="G10:G11"/>
    <mergeCell ref="G2:G3"/>
  </mergeCells>
  <dataValidations count="1">
    <dataValidation allowBlank="1" showInputMessage="1" showErrorMessage="1" prompt="با یک بار کلیک چپ بر روی کادر سفید رنگ مبلغ محکوم به را وارد نمایید و با انتخاب گزینه محاسبه، میزان نیم عشر دولتی محاسبه می گردد._x000a__x000a_نحوه محاسبه:_x000a_به استناد ماده 158 قانون اجرای احکام مدنی مصوب 1356میزان نیم عشر دولتی برابر با 5درصد میزان محکوم به می باشد." sqref="E2"/>
  </dataValidations>
  <hyperlinks>
    <hyperlink ref="F2" location="'صفحه اصلی'!A1" display="صفحه اصلی"/>
  </hyperlink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showRowColHeaders="0" rightToLeft="1" workbookViewId="0">
      <selection activeCell="M3" sqref="M3:N3"/>
    </sheetView>
  </sheetViews>
  <sheetFormatPr defaultColWidth="9.140625" defaultRowHeight="15" x14ac:dyDescent="0.25"/>
  <cols>
    <col min="1" max="1" width="9.140625" style="18"/>
    <col min="2" max="2" width="2.5703125" style="18" customWidth="1"/>
    <col min="3" max="4" width="9.140625" style="18"/>
    <col min="5" max="5" width="9.140625" style="18" customWidth="1"/>
    <col min="6" max="6" width="3.5703125" style="18" customWidth="1"/>
    <col min="7" max="8" width="9.140625" style="18"/>
    <col min="9" max="9" width="29.140625" style="18" customWidth="1"/>
    <col min="10" max="10" width="4.85546875" style="18" customWidth="1"/>
    <col min="11" max="12" width="9.140625" style="18"/>
    <col min="13" max="13" width="20.28515625" style="18" customWidth="1"/>
    <col min="14" max="14" width="2.85546875" style="18" customWidth="1"/>
    <col min="15" max="16384" width="9.140625" style="18"/>
  </cols>
  <sheetData>
    <row r="1" spans="1:16" ht="22.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x14ac:dyDescent="0.25">
      <c r="A2" s="91"/>
      <c r="B2" s="92"/>
      <c r="C2" s="92"/>
      <c r="D2" s="92"/>
      <c r="E2" s="92"/>
      <c r="F2" s="92"/>
      <c r="G2" s="277" t="s">
        <v>42</v>
      </c>
      <c r="H2" s="277"/>
      <c r="I2" s="277"/>
      <c r="J2" s="93"/>
      <c r="K2" s="93"/>
      <c r="L2" s="93"/>
      <c r="M2" s="93"/>
      <c r="N2" s="93"/>
      <c r="O2" s="94"/>
    </row>
    <row r="3" spans="1:16" ht="27" customHeight="1" x14ac:dyDescent="0.25">
      <c r="A3" s="91"/>
      <c r="B3" s="92"/>
      <c r="C3" s="92"/>
      <c r="D3" s="92"/>
      <c r="E3" s="92"/>
      <c r="F3" s="92"/>
      <c r="G3" s="277"/>
      <c r="H3" s="277"/>
      <c r="I3" s="277"/>
      <c r="J3" s="93"/>
      <c r="K3" s="93"/>
      <c r="L3" s="93"/>
      <c r="M3" s="278" t="s">
        <v>35</v>
      </c>
      <c r="N3" s="279"/>
      <c r="O3" s="20"/>
    </row>
    <row r="4" spans="1:16" ht="15" customHeight="1" x14ac:dyDescent="0.25">
      <c r="A4" s="91"/>
      <c r="B4" s="92"/>
      <c r="C4" s="92"/>
      <c r="D4" s="92"/>
      <c r="E4" s="92"/>
      <c r="F4" s="92"/>
      <c r="G4" s="277"/>
      <c r="H4" s="277"/>
      <c r="I4" s="277"/>
      <c r="J4" s="92"/>
      <c r="K4" s="93"/>
      <c r="L4" s="93"/>
      <c r="M4" s="93"/>
      <c r="N4" s="93"/>
      <c r="O4" s="94"/>
    </row>
    <row r="5" spans="1:16" x14ac:dyDescent="0.25">
      <c r="A5" s="91"/>
      <c r="B5" s="55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38"/>
      <c r="O5" s="94"/>
    </row>
    <row r="6" spans="1:16" ht="21" x14ac:dyDescent="0.35">
      <c r="A6" s="91"/>
      <c r="B6" s="55"/>
      <c r="C6" s="244" t="s">
        <v>43</v>
      </c>
      <c r="D6" s="245"/>
      <c r="E6" s="245"/>
      <c r="F6" s="245"/>
      <c r="G6" s="245"/>
      <c r="H6" s="245"/>
      <c r="I6" s="245"/>
      <c r="J6" s="245"/>
      <c r="K6" s="245"/>
      <c r="L6" s="245"/>
      <c r="M6" s="246"/>
      <c r="N6" s="38"/>
      <c r="O6" s="94"/>
    </row>
    <row r="7" spans="1:16" ht="15.75" x14ac:dyDescent="0.25">
      <c r="A7" s="91"/>
      <c r="C7" s="241" t="s">
        <v>10</v>
      </c>
      <c r="D7" s="242"/>
      <c r="E7" s="242"/>
      <c r="F7" s="242"/>
      <c r="G7" s="242"/>
      <c r="H7" s="242"/>
      <c r="I7" s="243"/>
      <c r="J7" s="241" t="s">
        <v>272</v>
      </c>
      <c r="K7" s="242"/>
      <c r="L7" s="242"/>
      <c r="M7" s="243"/>
      <c r="N7" s="20"/>
      <c r="O7" s="94"/>
    </row>
    <row r="8" spans="1:16" ht="20.100000000000001" customHeight="1" x14ac:dyDescent="0.25">
      <c r="A8" s="91"/>
      <c r="C8" s="271" t="s">
        <v>48</v>
      </c>
      <c r="D8" s="272"/>
      <c r="E8" s="272"/>
      <c r="F8" s="272"/>
      <c r="G8" s="272"/>
      <c r="H8" s="272"/>
      <c r="I8" s="273"/>
      <c r="J8" s="274" t="s">
        <v>44</v>
      </c>
      <c r="K8" s="275"/>
      <c r="L8" s="275"/>
      <c r="M8" s="276"/>
      <c r="N8" s="20"/>
      <c r="O8" s="94"/>
    </row>
    <row r="9" spans="1:16" ht="20.100000000000001" customHeight="1" x14ac:dyDescent="0.25">
      <c r="A9" s="91"/>
      <c r="C9" s="259" t="s">
        <v>45</v>
      </c>
      <c r="D9" s="260"/>
      <c r="E9" s="260"/>
      <c r="F9" s="260"/>
      <c r="G9" s="260"/>
      <c r="H9" s="260"/>
      <c r="I9" s="261"/>
      <c r="J9" s="262" t="s">
        <v>54</v>
      </c>
      <c r="K9" s="263"/>
      <c r="L9" s="263"/>
      <c r="M9" s="264"/>
      <c r="N9" s="20"/>
      <c r="O9" s="94"/>
    </row>
    <row r="10" spans="1:16" ht="20.100000000000001" customHeight="1" x14ac:dyDescent="0.25">
      <c r="A10" s="91"/>
      <c r="C10" s="271" t="s">
        <v>46</v>
      </c>
      <c r="D10" s="272"/>
      <c r="E10" s="272"/>
      <c r="F10" s="272"/>
      <c r="G10" s="272"/>
      <c r="H10" s="272"/>
      <c r="I10" s="273"/>
      <c r="J10" s="274" t="s">
        <v>47</v>
      </c>
      <c r="K10" s="275"/>
      <c r="L10" s="275"/>
      <c r="M10" s="276"/>
      <c r="N10" s="20"/>
      <c r="O10" s="94"/>
    </row>
    <row r="11" spans="1:16" ht="20.100000000000001" customHeight="1" x14ac:dyDescent="0.25">
      <c r="A11" s="91"/>
      <c r="C11" s="259" t="s">
        <v>49</v>
      </c>
      <c r="D11" s="260"/>
      <c r="E11" s="260"/>
      <c r="F11" s="260"/>
      <c r="G11" s="260"/>
      <c r="H11" s="260"/>
      <c r="I11" s="261"/>
      <c r="J11" s="262" t="s">
        <v>55</v>
      </c>
      <c r="K11" s="263"/>
      <c r="L11" s="263"/>
      <c r="M11" s="264"/>
      <c r="N11" s="20"/>
      <c r="O11" s="94"/>
    </row>
    <row r="12" spans="1:16" ht="20.100000000000001" customHeight="1" x14ac:dyDescent="0.25">
      <c r="A12" s="91"/>
      <c r="C12" s="271" t="s">
        <v>50</v>
      </c>
      <c r="D12" s="272"/>
      <c r="E12" s="272"/>
      <c r="F12" s="272"/>
      <c r="G12" s="272"/>
      <c r="H12" s="272"/>
      <c r="I12" s="273"/>
      <c r="J12" s="274" t="s">
        <v>56</v>
      </c>
      <c r="K12" s="275"/>
      <c r="L12" s="275"/>
      <c r="M12" s="276"/>
      <c r="N12" s="20"/>
      <c r="O12" s="94"/>
    </row>
    <row r="13" spans="1:16" ht="20.100000000000001" customHeight="1" x14ac:dyDescent="0.25">
      <c r="A13" s="91"/>
      <c r="C13" s="259" t="s">
        <v>51</v>
      </c>
      <c r="D13" s="260"/>
      <c r="E13" s="260"/>
      <c r="F13" s="260"/>
      <c r="G13" s="260"/>
      <c r="H13" s="260"/>
      <c r="I13" s="261"/>
      <c r="J13" s="262" t="s">
        <v>57</v>
      </c>
      <c r="K13" s="263"/>
      <c r="L13" s="263"/>
      <c r="M13" s="264"/>
      <c r="N13" s="20"/>
      <c r="O13" s="94"/>
    </row>
    <row r="14" spans="1:16" ht="20.100000000000001" customHeight="1" x14ac:dyDescent="0.25">
      <c r="A14" s="91"/>
      <c r="C14" s="271" t="s">
        <v>52</v>
      </c>
      <c r="D14" s="272"/>
      <c r="E14" s="272"/>
      <c r="F14" s="272"/>
      <c r="G14" s="272"/>
      <c r="H14" s="272"/>
      <c r="I14" s="273"/>
      <c r="J14" s="274" t="s">
        <v>63</v>
      </c>
      <c r="K14" s="275"/>
      <c r="L14" s="275"/>
      <c r="M14" s="276"/>
      <c r="N14" s="20"/>
      <c r="O14" s="94"/>
    </row>
    <row r="15" spans="1:16" ht="20.100000000000001" customHeight="1" x14ac:dyDescent="0.25">
      <c r="A15" s="91"/>
      <c r="C15" s="259" t="s">
        <v>53</v>
      </c>
      <c r="D15" s="260"/>
      <c r="E15" s="260"/>
      <c r="F15" s="260"/>
      <c r="G15" s="260"/>
      <c r="H15" s="260"/>
      <c r="I15" s="261"/>
      <c r="J15" s="262" t="s">
        <v>64</v>
      </c>
      <c r="K15" s="263"/>
      <c r="L15" s="263"/>
      <c r="M15" s="264"/>
      <c r="N15" s="20"/>
      <c r="O15" s="94"/>
    </row>
    <row r="16" spans="1:16" ht="20.100000000000001" customHeight="1" x14ac:dyDescent="0.25">
      <c r="A16" s="91"/>
      <c r="C16" s="271" t="s">
        <v>65</v>
      </c>
      <c r="D16" s="272"/>
      <c r="E16" s="272"/>
      <c r="F16" s="272"/>
      <c r="G16" s="272"/>
      <c r="H16" s="272"/>
      <c r="I16" s="273"/>
      <c r="J16" s="274" t="s">
        <v>66</v>
      </c>
      <c r="K16" s="275"/>
      <c r="L16" s="275"/>
      <c r="M16" s="276"/>
      <c r="N16" s="20"/>
      <c r="O16" s="94"/>
    </row>
    <row r="17" spans="1:15" ht="20.100000000000001" customHeight="1" x14ac:dyDescent="0.25">
      <c r="A17" s="91"/>
      <c r="C17" s="259" t="s">
        <v>67</v>
      </c>
      <c r="D17" s="260"/>
      <c r="E17" s="260"/>
      <c r="F17" s="260"/>
      <c r="G17" s="260"/>
      <c r="H17" s="260"/>
      <c r="I17" s="261"/>
      <c r="J17" s="262" t="s">
        <v>68</v>
      </c>
      <c r="K17" s="263"/>
      <c r="L17" s="263"/>
      <c r="M17" s="264"/>
      <c r="N17" s="20"/>
      <c r="O17" s="94"/>
    </row>
    <row r="18" spans="1:15" ht="20.100000000000001" customHeight="1" x14ac:dyDescent="0.25">
      <c r="A18" s="91"/>
      <c r="C18" s="271" t="s">
        <v>69</v>
      </c>
      <c r="D18" s="272"/>
      <c r="E18" s="272"/>
      <c r="F18" s="272"/>
      <c r="G18" s="272"/>
      <c r="H18" s="272"/>
      <c r="I18" s="273"/>
      <c r="J18" s="274" t="s">
        <v>64</v>
      </c>
      <c r="K18" s="275"/>
      <c r="L18" s="275"/>
      <c r="M18" s="276"/>
      <c r="N18" s="20"/>
      <c r="O18" s="94"/>
    </row>
    <row r="19" spans="1:15" ht="20.100000000000001" customHeight="1" x14ac:dyDescent="0.25">
      <c r="A19" s="91"/>
      <c r="C19" s="259" t="s">
        <v>70</v>
      </c>
      <c r="D19" s="260"/>
      <c r="E19" s="260"/>
      <c r="F19" s="260"/>
      <c r="G19" s="260"/>
      <c r="H19" s="260"/>
      <c r="I19" s="261"/>
      <c r="J19" s="262" t="s">
        <v>71</v>
      </c>
      <c r="K19" s="263"/>
      <c r="L19" s="263"/>
      <c r="M19" s="264"/>
      <c r="N19" s="20"/>
      <c r="O19" s="94"/>
    </row>
    <row r="20" spans="1:15" ht="20.100000000000001" customHeight="1" x14ac:dyDescent="0.25">
      <c r="A20" s="91"/>
      <c r="C20" s="271" t="s">
        <v>72</v>
      </c>
      <c r="D20" s="272"/>
      <c r="E20" s="272"/>
      <c r="F20" s="272"/>
      <c r="G20" s="272"/>
      <c r="H20" s="272"/>
      <c r="I20" s="273"/>
      <c r="J20" s="274" t="s">
        <v>66</v>
      </c>
      <c r="K20" s="275"/>
      <c r="L20" s="275"/>
      <c r="M20" s="276"/>
      <c r="N20" s="20"/>
      <c r="O20" s="94"/>
    </row>
    <row r="21" spans="1:15" ht="20.100000000000001" customHeight="1" x14ac:dyDescent="0.25">
      <c r="A21" s="91"/>
      <c r="C21" s="259"/>
      <c r="D21" s="260"/>
      <c r="E21" s="260"/>
      <c r="F21" s="260"/>
      <c r="G21" s="260"/>
      <c r="H21" s="260"/>
      <c r="I21" s="261"/>
      <c r="J21" s="262"/>
      <c r="K21" s="263"/>
      <c r="L21" s="263"/>
      <c r="M21" s="264"/>
      <c r="N21" s="20"/>
      <c r="O21" s="94"/>
    </row>
    <row r="22" spans="1:15" ht="18.75" x14ac:dyDescent="0.25">
      <c r="A22" s="91"/>
      <c r="C22" s="265"/>
      <c r="D22" s="266"/>
      <c r="E22" s="266"/>
      <c r="F22" s="266"/>
      <c r="G22" s="266"/>
      <c r="H22" s="266"/>
      <c r="I22" s="267"/>
      <c r="J22" s="268"/>
      <c r="K22" s="269"/>
      <c r="L22" s="269"/>
      <c r="M22" s="270"/>
      <c r="N22" s="20"/>
      <c r="O22" s="94"/>
    </row>
    <row r="23" spans="1:15" ht="21" x14ac:dyDescent="0.35">
      <c r="A23" s="91"/>
      <c r="C23" s="244" t="s">
        <v>73</v>
      </c>
      <c r="D23" s="245"/>
      <c r="E23" s="245"/>
      <c r="F23" s="245"/>
      <c r="G23" s="245"/>
      <c r="H23" s="245"/>
      <c r="I23" s="245"/>
      <c r="J23" s="245"/>
      <c r="K23" s="245"/>
      <c r="L23" s="245"/>
      <c r="M23" s="246"/>
      <c r="N23" s="20"/>
      <c r="O23" s="94"/>
    </row>
    <row r="24" spans="1:15" ht="15.75" x14ac:dyDescent="0.25">
      <c r="A24" s="91"/>
      <c r="C24" s="241" t="s">
        <v>10</v>
      </c>
      <c r="D24" s="242"/>
      <c r="E24" s="242"/>
      <c r="F24" s="242"/>
      <c r="G24" s="242"/>
      <c r="H24" s="242"/>
      <c r="I24" s="243"/>
      <c r="J24" s="241" t="s">
        <v>272</v>
      </c>
      <c r="K24" s="242"/>
      <c r="L24" s="242"/>
      <c r="M24" s="243"/>
      <c r="N24" s="20"/>
      <c r="O24" s="94"/>
    </row>
    <row r="25" spans="1:15" s="161" customFormat="1" ht="20.100000000000001" customHeight="1" x14ac:dyDescent="0.25">
      <c r="A25" s="160"/>
      <c r="C25" s="223" t="s">
        <v>74</v>
      </c>
      <c r="D25" s="224"/>
      <c r="E25" s="224"/>
      <c r="F25" s="224"/>
      <c r="G25" s="224"/>
      <c r="H25" s="224"/>
      <c r="I25" s="225"/>
      <c r="J25" s="226" t="s">
        <v>75</v>
      </c>
      <c r="K25" s="227"/>
      <c r="L25" s="227"/>
      <c r="M25" s="228"/>
      <c r="N25" s="162"/>
      <c r="O25" s="163"/>
    </row>
    <row r="26" spans="1:15" s="161" customFormat="1" ht="20.100000000000001" customHeight="1" x14ac:dyDescent="0.25">
      <c r="A26" s="160"/>
      <c r="C26" s="256" t="s">
        <v>76</v>
      </c>
      <c r="D26" s="257"/>
      <c r="E26" s="257"/>
      <c r="F26" s="257"/>
      <c r="G26" s="257"/>
      <c r="H26" s="257"/>
      <c r="I26" s="258"/>
      <c r="J26" s="232" t="s">
        <v>77</v>
      </c>
      <c r="K26" s="233"/>
      <c r="L26" s="233"/>
      <c r="M26" s="234"/>
      <c r="O26" s="163"/>
    </row>
    <row r="27" spans="1:15" s="161" customFormat="1" ht="20.100000000000001" customHeight="1" x14ac:dyDescent="0.25">
      <c r="A27" s="160"/>
      <c r="C27" s="223" t="s">
        <v>78</v>
      </c>
      <c r="D27" s="224"/>
      <c r="E27" s="224"/>
      <c r="F27" s="224"/>
      <c r="G27" s="224"/>
      <c r="H27" s="224"/>
      <c r="I27" s="225"/>
      <c r="J27" s="226" t="s">
        <v>66</v>
      </c>
      <c r="K27" s="227"/>
      <c r="L27" s="227"/>
      <c r="M27" s="228"/>
      <c r="O27" s="163"/>
    </row>
    <row r="28" spans="1:15" s="161" customFormat="1" ht="20.100000000000001" customHeight="1" x14ac:dyDescent="0.25">
      <c r="A28" s="160"/>
      <c r="C28" s="229" t="s">
        <v>79</v>
      </c>
      <c r="D28" s="230"/>
      <c r="E28" s="230"/>
      <c r="F28" s="230"/>
      <c r="G28" s="230"/>
      <c r="H28" s="230"/>
      <c r="I28" s="231"/>
      <c r="J28" s="232" t="s">
        <v>80</v>
      </c>
      <c r="K28" s="233"/>
      <c r="L28" s="233"/>
      <c r="M28" s="234"/>
      <c r="O28" s="163"/>
    </row>
    <row r="29" spans="1:15" ht="18" customHeight="1" x14ac:dyDescent="0.25">
      <c r="A29" s="91"/>
      <c r="C29" s="250"/>
      <c r="D29" s="251"/>
      <c r="E29" s="251"/>
      <c r="F29" s="251"/>
      <c r="G29" s="251"/>
      <c r="H29" s="251"/>
      <c r="I29" s="252"/>
      <c r="J29" s="253"/>
      <c r="K29" s="254"/>
      <c r="L29" s="254"/>
      <c r="M29" s="255"/>
      <c r="O29" s="94"/>
    </row>
    <row r="30" spans="1:15" ht="21" x14ac:dyDescent="0.35">
      <c r="A30" s="20"/>
      <c r="B30" s="107"/>
      <c r="C30" s="244" t="s">
        <v>92</v>
      </c>
      <c r="D30" s="245"/>
      <c r="E30" s="245"/>
      <c r="F30" s="245"/>
      <c r="G30" s="245"/>
      <c r="H30" s="245"/>
      <c r="I30" s="245"/>
      <c r="J30" s="245"/>
      <c r="K30" s="245"/>
      <c r="L30" s="245"/>
      <c r="M30" s="246"/>
      <c r="N30" s="108"/>
      <c r="O30" s="20"/>
    </row>
    <row r="31" spans="1:15" ht="15.75" x14ac:dyDescent="0.25">
      <c r="B31" s="107"/>
      <c r="C31" s="241" t="s">
        <v>10</v>
      </c>
      <c r="D31" s="242"/>
      <c r="E31" s="242"/>
      <c r="F31" s="242"/>
      <c r="G31" s="242"/>
      <c r="H31" s="242"/>
      <c r="I31" s="243"/>
      <c r="J31" s="241" t="s">
        <v>272</v>
      </c>
      <c r="K31" s="242"/>
      <c r="L31" s="242"/>
      <c r="M31" s="243"/>
      <c r="N31" s="108"/>
    </row>
    <row r="32" spans="1:15" ht="46.5" customHeight="1" x14ac:dyDescent="0.25">
      <c r="B32" s="107"/>
      <c r="C32" s="223" t="s">
        <v>93</v>
      </c>
      <c r="D32" s="224"/>
      <c r="E32" s="224"/>
      <c r="F32" s="224"/>
      <c r="G32" s="224"/>
      <c r="H32" s="224"/>
      <c r="I32" s="225"/>
      <c r="J32" s="247" t="s">
        <v>94</v>
      </c>
      <c r="K32" s="248"/>
      <c r="L32" s="248"/>
      <c r="M32" s="249"/>
      <c r="N32" s="108"/>
    </row>
    <row r="33" spans="2:14" ht="20.100000000000001" customHeight="1" x14ac:dyDescent="0.25">
      <c r="B33" s="107"/>
      <c r="C33" s="229" t="s">
        <v>95</v>
      </c>
      <c r="D33" s="230"/>
      <c r="E33" s="230"/>
      <c r="F33" s="230"/>
      <c r="G33" s="230"/>
      <c r="H33" s="230"/>
      <c r="I33" s="231"/>
      <c r="J33" s="232" t="s">
        <v>66</v>
      </c>
      <c r="K33" s="233"/>
      <c r="L33" s="233"/>
      <c r="M33" s="234"/>
      <c r="N33" s="108"/>
    </row>
    <row r="34" spans="2:14" ht="20.100000000000001" customHeight="1" x14ac:dyDescent="0.25">
      <c r="B34" s="107"/>
      <c r="C34" s="223" t="s">
        <v>96</v>
      </c>
      <c r="D34" s="224"/>
      <c r="E34" s="224"/>
      <c r="F34" s="224"/>
      <c r="G34" s="224"/>
      <c r="H34" s="224"/>
      <c r="I34" s="225"/>
      <c r="J34" s="226" t="s">
        <v>66</v>
      </c>
      <c r="K34" s="227"/>
      <c r="L34" s="227"/>
      <c r="M34" s="228"/>
      <c r="N34" s="108"/>
    </row>
    <row r="35" spans="2:14" ht="20.100000000000001" customHeight="1" x14ac:dyDescent="0.25">
      <c r="B35" s="107"/>
      <c r="C35" s="229" t="s">
        <v>97</v>
      </c>
      <c r="D35" s="230"/>
      <c r="E35" s="230"/>
      <c r="F35" s="230"/>
      <c r="G35" s="230"/>
      <c r="H35" s="230"/>
      <c r="I35" s="231"/>
      <c r="J35" s="232" t="s">
        <v>98</v>
      </c>
      <c r="K35" s="233"/>
      <c r="L35" s="233"/>
      <c r="M35" s="234"/>
      <c r="N35" s="108"/>
    </row>
    <row r="36" spans="2:14" ht="20.100000000000001" customHeight="1" x14ac:dyDescent="0.25">
      <c r="B36" s="107"/>
      <c r="C36" s="223" t="s">
        <v>99</v>
      </c>
      <c r="D36" s="224"/>
      <c r="E36" s="224"/>
      <c r="F36" s="224"/>
      <c r="G36" s="224"/>
      <c r="H36" s="224"/>
      <c r="I36" s="225"/>
      <c r="J36" s="226" t="s">
        <v>66</v>
      </c>
      <c r="K36" s="227"/>
      <c r="L36" s="227"/>
      <c r="M36" s="228"/>
      <c r="N36" s="108"/>
    </row>
    <row r="37" spans="2:14" ht="20.100000000000001" customHeight="1" x14ac:dyDescent="0.25">
      <c r="B37" s="107"/>
      <c r="C37" s="229" t="s">
        <v>100</v>
      </c>
      <c r="D37" s="230"/>
      <c r="E37" s="230"/>
      <c r="F37" s="230"/>
      <c r="G37" s="230"/>
      <c r="H37" s="230"/>
      <c r="I37" s="231"/>
      <c r="J37" s="232" t="s">
        <v>66</v>
      </c>
      <c r="K37" s="233"/>
      <c r="L37" s="233"/>
      <c r="M37" s="234"/>
      <c r="N37" s="108"/>
    </row>
    <row r="38" spans="2:14" ht="15.75" x14ac:dyDescent="0.25">
      <c r="B38" s="107"/>
      <c r="C38" s="235"/>
      <c r="D38" s="236"/>
      <c r="E38" s="236"/>
      <c r="F38" s="236"/>
      <c r="G38" s="236"/>
      <c r="H38" s="236"/>
      <c r="I38" s="237"/>
      <c r="J38" s="238"/>
      <c r="K38" s="239"/>
      <c r="L38" s="239"/>
      <c r="M38" s="240"/>
      <c r="N38" s="108"/>
    </row>
    <row r="39" spans="2:14" ht="21" x14ac:dyDescent="0.35">
      <c r="B39" s="107"/>
      <c r="C39" s="244" t="s">
        <v>101</v>
      </c>
      <c r="D39" s="245"/>
      <c r="E39" s="245"/>
      <c r="F39" s="245"/>
      <c r="G39" s="245"/>
      <c r="H39" s="245"/>
      <c r="I39" s="245"/>
      <c r="J39" s="245"/>
      <c r="K39" s="245"/>
      <c r="L39" s="245"/>
      <c r="M39" s="246"/>
      <c r="N39" s="108"/>
    </row>
    <row r="40" spans="2:14" ht="15.75" x14ac:dyDescent="0.25">
      <c r="B40" s="107"/>
      <c r="C40" s="241" t="s">
        <v>10</v>
      </c>
      <c r="D40" s="242"/>
      <c r="E40" s="242"/>
      <c r="F40" s="242"/>
      <c r="G40" s="242"/>
      <c r="H40" s="242"/>
      <c r="I40" s="243"/>
      <c r="J40" s="241" t="s">
        <v>272</v>
      </c>
      <c r="K40" s="242"/>
      <c r="L40" s="242"/>
      <c r="M40" s="243"/>
      <c r="N40" s="108"/>
    </row>
    <row r="41" spans="2:14" ht="20.100000000000001" customHeight="1" x14ac:dyDescent="0.25">
      <c r="B41" s="107"/>
      <c r="C41" s="223" t="s">
        <v>102</v>
      </c>
      <c r="D41" s="224"/>
      <c r="E41" s="224"/>
      <c r="F41" s="224"/>
      <c r="G41" s="224"/>
      <c r="H41" s="224"/>
      <c r="I41" s="225"/>
      <c r="J41" s="226" t="s">
        <v>103</v>
      </c>
      <c r="K41" s="227"/>
      <c r="L41" s="227"/>
      <c r="M41" s="228"/>
      <c r="N41" s="108"/>
    </row>
    <row r="42" spans="2:14" ht="20.100000000000001" customHeight="1" x14ac:dyDescent="0.25">
      <c r="B42" s="107"/>
      <c r="C42" s="229" t="s">
        <v>104</v>
      </c>
      <c r="D42" s="230"/>
      <c r="E42" s="230"/>
      <c r="F42" s="230"/>
      <c r="G42" s="230"/>
      <c r="H42" s="230"/>
      <c r="I42" s="231"/>
      <c r="J42" s="232" t="s">
        <v>66</v>
      </c>
      <c r="K42" s="233"/>
      <c r="L42" s="233"/>
      <c r="M42" s="234"/>
      <c r="N42" s="108"/>
    </row>
    <row r="43" spans="2:14" ht="20.100000000000001" customHeight="1" x14ac:dyDescent="0.25">
      <c r="B43" s="107"/>
      <c r="C43" s="223" t="s">
        <v>105</v>
      </c>
      <c r="D43" s="224"/>
      <c r="E43" s="224"/>
      <c r="F43" s="224"/>
      <c r="G43" s="224"/>
      <c r="H43" s="224"/>
      <c r="I43" s="225"/>
      <c r="J43" s="226" t="s">
        <v>106</v>
      </c>
      <c r="K43" s="227"/>
      <c r="L43" s="227"/>
      <c r="M43" s="228"/>
      <c r="N43" s="108"/>
    </row>
    <row r="44" spans="2:14" ht="20.100000000000001" customHeight="1" x14ac:dyDescent="0.25">
      <c r="B44" s="107"/>
      <c r="C44" s="229" t="s">
        <v>107</v>
      </c>
      <c r="D44" s="230"/>
      <c r="E44" s="230"/>
      <c r="F44" s="230"/>
      <c r="G44" s="230"/>
      <c r="H44" s="230"/>
      <c r="I44" s="231"/>
      <c r="J44" s="232" t="s">
        <v>108</v>
      </c>
      <c r="K44" s="233"/>
      <c r="L44" s="233"/>
      <c r="M44" s="234"/>
      <c r="N44" s="108"/>
    </row>
    <row r="45" spans="2:14" ht="15.75" x14ac:dyDescent="0.25">
      <c r="B45" s="107"/>
      <c r="C45" s="235"/>
      <c r="D45" s="236"/>
      <c r="E45" s="236"/>
      <c r="F45" s="236"/>
      <c r="G45" s="236"/>
      <c r="H45" s="236"/>
      <c r="I45" s="237"/>
      <c r="J45" s="238"/>
      <c r="K45" s="239"/>
      <c r="L45" s="239"/>
      <c r="M45" s="240"/>
      <c r="N45" s="108"/>
    </row>
    <row r="46" spans="2:14" x14ac:dyDescent="0.25">
      <c r="B46" s="107"/>
      <c r="N46" s="108"/>
    </row>
    <row r="47" spans="2:14" ht="15.75" thickBot="1" x14ac:dyDescent="0.3"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1"/>
    </row>
    <row r="48" spans="2:14" ht="15.75" thickTop="1" x14ac:dyDescent="0.25"/>
  </sheetData>
  <sheetProtection algorithmName="SHA-512" hashValue="Ify8nkxd8ixAj+tJco0Vm1k0WJ0KHxziZE3rTSvCIrR+6klqweO2iDdcQk3icOXDtqFUI4vVxoUEj9/hGcdbLQ==" saltValue="0Y4KYFucMG7K8sJMoc8yXg==" spinCount="100000" sheet="1" objects="1" scenarios="1"/>
  <mergeCells count="79">
    <mergeCell ref="C45:I45"/>
    <mergeCell ref="J45:M45"/>
    <mergeCell ref="C42:I42"/>
    <mergeCell ref="J42:M42"/>
    <mergeCell ref="C43:I43"/>
    <mergeCell ref="J43:M43"/>
    <mergeCell ref="C44:I44"/>
    <mergeCell ref="J44:M44"/>
    <mergeCell ref="C39:M39"/>
    <mergeCell ref="C40:I40"/>
    <mergeCell ref="J40:M40"/>
    <mergeCell ref="C41:I41"/>
    <mergeCell ref="J41:M41"/>
    <mergeCell ref="G2:I4"/>
    <mergeCell ref="M3:N3"/>
    <mergeCell ref="C5:M5"/>
    <mergeCell ref="C9:I9"/>
    <mergeCell ref="J9:M9"/>
    <mergeCell ref="C10:I10"/>
    <mergeCell ref="J10:M10"/>
    <mergeCell ref="C11:I11"/>
    <mergeCell ref="J11:M11"/>
    <mergeCell ref="C6:M6"/>
    <mergeCell ref="J7:M7"/>
    <mergeCell ref="C7:I7"/>
    <mergeCell ref="C8:I8"/>
    <mergeCell ref="J8:M8"/>
    <mergeCell ref="C12:I12"/>
    <mergeCell ref="J12:M12"/>
    <mergeCell ref="C13:I13"/>
    <mergeCell ref="J13:M13"/>
    <mergeCell ref="C14:I14"/>
    <mergeCell ref="J14:M14"/>
    <mergeCell ref="C15:I15"/>
    <mergeCell ref="J15:M15"/>
    <mergeCell ref="C16:I16"/>
    <mergeCell ref="J16:M16"/>
    <mergeCell ref="C17:I17"/>
    <mergeCell ref="J17:M17"/>
    <mergeCell ref="C18:I18"/>
    <mergeCell ref="J18:M18"/>
    <mergeCell ref="C19:I19"/>
    <mergeCell ref="J19:M19"/>
    <mergeCell ref="C20:I20"/>
    <mergeCell ref="J20:M20"/>
    <mergeCell ref="C21:I21"/>
    <mergeCell ref="J21:M21"/>
    <mergeCell ref="C22:I22"/>
    <mergeCell ref="J22:M22"/>
    <mergeCell ref="C23:M23"/>
    <mergeCell ref="C24:I24"/>
    <mergeCell ref="J24:M24"/>
    <mergeCell ref="C25:I25"/>
    <mergeCell ref="J25:M25"/>
    <mergeCell ref="C26:I26"/>
    <mergeCell ref="J26:M26"/>
    <mergeCell ref="C31:I31"/>
    <mergeCell ref="J31:M31"/>
    <mergeCell ref="C30:M30"/>
    <mergeCell ref="J32:M32"/>
    <mergeCell ref="C27:I27"/>
    <mergeCell ref="J27:M27"/>
    <mergeCell ref="C28:I28"/>
    <mergeCell ref="J28:M28"/>
    <mergeCell ref="C29:I29"/>
    <mergeCell ref="J29:M29"/>
    <mergeCell ref="C32:I32"/>
    <mergeCell ref="J33:M33"/>
    <mergeCell ref="C34:I34"/>
    <mergeCell ref="J34:M34"/>
    <mergeCell ref="C35:I35"/>
    <mergeCell ref="J35:M35"/>
    <mergeCell ref="C33:I33"/>
    <mergeCell ref="C36:I36"/>
    <mergeCell ref="J36:M36"/>
    <mergeCell ref="C37:I37"/>
    <mergeCell ref="J37:M37"/>
    <mergeCell ref="C38:I38"/>
    <mergeCell ref="J38:M38"/>
  </mergeCells>
  <hyperlinks>
    <hyperlink ref="M3:N3" location="'صفحه اصلی'!A1" display="بازگشت به صفحه اصلی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K30"/>
  <sheetViews>
    <sheetView showGridLines="0" showRowColHeaders="0" rightToLeft="1" workbookViewId="0">
      <selection activeCell="D2" sqref="D2"/>
    </sheetView>
  </sheetViews>
  <sheetFormatPr defaultColWidth="9.140625" defaultRowHeight="15" x14ac:dyDescent="0.25"/>
  <cols>
    <col min="1" max="1" width="5.7109375" style="2" customWidth="1"/>
    <col min="2" max="2" width="6" style="2" customWidth="1"/>
    <col min="3" max="3" width="9.7109375" style="2" hidden="1" customWidth="1"/>
    <col min="4" max="4" width="14.7109375" style="2" customWidth="1"/>
    <col min="5" max="5" width="44.85546875" style="2" customWidth="1"/>
    <col min="6" max="6" width="14.7109375" style="2" customWidth="1"/>
    <col min="7" max="16384" width="9.140625" style="2"/>
  </cols>
  <sheetData>
    <row r="1" spans="4:7" ht="30" customHeight="1" x14ac:dyDescent="0.25"/>
    <row r="2" spans="4:7" ht="42" customHeight="1" x14ac:dyDescent="0.25">
      <c r="D2" s="74" t="s">
        <v>35</v>
      </c>
      <c r="E2" s="146" t="s">
        <v>89</v>
      </c>
      <c r="F2" s="75" t="s">
        <v>36</v>
      </c>
    </row>
    <row r="3" spans="4:7" x14ac:dyDescent="0.25">
      <c r="D3" s="82"/>
      <c r="E3" s="82"/>
      <c r="F3" s="82"/>
      <c r="G3" s="82"/>
    </row>
    <row r="4" spans="4:7" ht="33" customHeight="1" x14ac:dyDescent="0.25">
      <c r="D4" s="82"/>
      <c r="E4" s="168" t="s">
        <v>269</v>
      </c>
      <c r="F4" s="82"/>
      <c r="G4" s="82"/>
    </row>
    <row r="5" spans="4:7" ht="33" customHeight="1" thickBot="1" x14ac:dyDescent="0.3">
      <c r="D5" s="82"/>
      <c r="E5" s="170">
        <v>0</v>
      </c>
      <c r="F5" s="82"/>
      <c r="G5" s="82"/>
    </row>
    <row r="6" spans="4:7" ht="33" customHeight="1" thickTop="1" thickBot="1" x14ac:dyDescent="0.3">
      <c r="D6" s="82"/>
      <c r="E6" s="147" t="s">
        <v>32</v>
      </c>
      <c r="F6" s="82"/>
      <c r="G6" s="82"/>
    </row>
    <row r="7" spans="4:7" ht="21.75" customHeight="1" thickTop="1" x14ac:dyDescent="0.25">
      <c r="D7" s="83"/>
      <c r="E7" s="83" t="s">
        <v>87</v>
      </c>
      <c r="F7" s="83"/>
      <c r="G7" s="82"/>
    </row>
    <row r="8" spans="4:7" ht="15.75" x14ac:dyDescent="0.25">
      <c r="D8" s="83"/>
      <c r="E8" s="73">
        <f>E5*60%</f>
        <v>0</v>
      </c>
      <c r="F8" s="83"/>
      <c r="G8" s="82"/>
    </row>
    <row r="9" spans="4:7" ht="18.75" customHeight="1" x14ac:dyDescent="0.25">
      <c r="D9" s="83"/>
      <c r="E9" s="84" t="s">
        <v>86</v>
      </c>
      <c r="F9" s="83"/>
      <c r="G9" s="82"/>
    </row>
    <row r="10" spans="4:7" ht="15.75" x14ac:dyDescent="0.25">
      <c r="D10" s="83"/>
      <c r="E10" s="73">
        <f>E5*40%</f>
        <v>0</v>
      </c>
      <c r="F10" s="83"/>
      <c r="G10" s="82"/>
    </row>
    <row r="11" spans="4:7" ht="18" customHeight="1" x14ac:dyDescent="0.25">
      <c r="D11" s="83"/>
      <c r="E11" s="84" t="s">
        <v>85</v>
      </c>
      <c r="F11" s="83"/>
      <c r="G11" s="82"/>
    </row>
    <row r="12" spans="4:7" ht="15.75" x14ac:dyDescent="0.25">
      <c r="D12" s="83"/>
      <c r="E12" s="73">
        <f>E5*3%</f>
        <v>0</v>
      </c>
      <c r="F12" s="83"/>
      <c r="G12" s="82"/>
    </row>
    <row r="13" spans="4:7" ht="17.25" customHeight="1" x14ac:dyDescent="0.25">
      <c r="D13" s="83"/>
      <c r="E13" s="84" t="s">
        <v>84</v>
      </c>
      <c r="F13" s="83"/>
      <c r="G13" s="82"/>
    </row>
    <row r="14" spans="4:7" ht="15.75" x14ac:dyDescent="0.25">
      <c r="D14" s="83"/>
      <c r="E14" s="73">
        <f>E5*2%</f>
        <v>0</v>
      </c>
      <c r="F14" s="83"/>
      <c r="G14" s="82"/>
    </row>
    <row r="15" spans="4:7" ht="17.25" customHeight="1" x14ac:dyDescent="0.25">
      <c r="D15" s="83"/>
      <c r="E15" s="84" t="s">
        <v>88</v>
      </c>
      <c r="F15" s="83"/>
      <c r="G15" s="82"/>
    </row>
    <row r="16" spans="4:7" ht="15.75" x14ac:dyDescent="0.25">
      <c r="D16" s="87"/>
      <c r="E16" s="85">
        <f>E12+E14</f>
        <v>0</v>
      </c>
      <c r="F16" s="87"/>
    </row>
    <row r="17" spans="3:11" ht="15.75" x14ac:dyDescent="0.25">
      <c r="D17" s="87"/>
      <c r="E17" s="87"/>
      <c r="F17" s="87"/>
    </row>
    <row r="18" spans="3:11" ht="15.75" x14ac:dyDescent="0.25">
      <c r="C18" s="86"/>
      <c r="D18" s="88"/>
      <c r="E18" s="88"/>
      <c r="F18" s="88"/>
      <c r="G18" s="86"/>
      <c r="H18" s="86"/>
      <c r="I18" s="86"/>
      <c r="J18" s="86"/>
      <c r="K18" s="86"/>
    </row>
    <row r="19" spans="3:11" x14ac:dyDescent="0.25">
      <c r="C19" s="86"/>
      <c r="D19" s="86"/>
      <c r="E19" s="86"/>
      <c r="F19" s="86"/>
      <c r="G19" s="86"/>
      <c r="H19" s="86"/>
      <c r="I19" s="86"/>
      <c r="J19" s="86"/>
      <c r="K19" s="86"/>
    </row>
    <row r="20" spans="3:11" x14ac:dyDescent="0.25">
      <c r="C20" s="86"/>
      <c r="D20" s="86"/>
      <c r="E20" s="86"/>
      <c r="F20" s="86"/>
      <c r="G20" s="86"/>
      <c r="H20" s="86"/>
      <c r="I20" s="86"/>
      <c r="J20" s="86"/>
      <c r="K20" s="86"/>
    </row>
    <row r="21" spans="3:11" x14ac:dyDescent="0.25">
      <c r="C21" s="86"/>
      <c r="D21" s="86"/>
      <c r="E21" s="86"/>
      <c r="F21" s="86"/>
      <c r="G21" s="86"/>
      <c r="H21" s="86"/>
      <c r="I21" s="86"/>
      <c r="J21" s="86"/>
      <c r="K21" s="86"/>
    </row>
    <row r="22" spans="3:11" ht="15" customHeight="1" x14ac:dyDescent="0.25">
      <c r="C22" s="86"/>
      <c r="D22" s="86"/>
      <c r="E22" s="86"/>
      <c r="F22" s="86"/>
      <c r="G22" s="86"/>
      <c r="H22" s="86"/>
      <c r="I22" s="86"/>
      <c r="J22" s="86"/>
      <c r="K22" s="86"/>
    </row>
    <row r="23" spans="3:11" ht="15" customHeight="1" x14ac:dyDescent="0.25">
      <c r="C23" s="86"/>
      <c r="D23" s="86"/>
      <c r="E23" s="86"/>
      <c r="F23" s="86"/>
      <c r="G23" s="86"/>
      <c r="H23" s="86"/>
      <c r="I23" s="86"/>
      <c r="J23" s="86"/>
      <c r="K23" s="86"/>
    </row>
    <row r="24" spans="3:11" ht="18.75" customHeight="1" x14ac:dyDescent="0.25">
      <c r="C24" s="86"/>
      <c r="D24" s="86"/>
      <c r="E24" s="86"/>
      <c r="F24" s="86"/>
      <c r="G24" s="86"/>
      <c r="H24" s="86"/>
      <c r="I24" s="86"/>
      <c r="J24" s="86"/>
      <c r="K24" s="86"/>
    </row>
    <row r="25" spans="3:11" x14ac:dyDescent="0.25">
      <c r="C25" s="86"/>
      <c r="D25" s="86"/>
      <c r="E25" s="86"/>
      <c r="F25" s="86"/>
      <c r="G25" s="86"/>
      <c r="H25" s="86"/>
      <c r="I25" s="86"/>
      <c r="J25" s="86"/>
      <c r="K25" s="86"/>
    </row>
    <row r="26" spans="3:11" ht="21" customHeight="1" x14ac:dyDescent="0.25">
      <c r="C26" s="86"/>
      <c r="D26" s="86"/>
      <c r="E26" s="86"/>
      <c r="F26" s="86"/>
      <c r="G26" s="86"/>
      <c r="H26" s="86"/>
      <c r="I26" s="86"/>
      <c r="J26" s="86"/>
      <c r="K26" s="86"/>
    </row>
    <row r="27" spans="3:11" ht="18.75" customHeight="1" x14ac:dyDescent="0.25">
      <c r="C27" s="86"/>
      <c r="D27" s="86"/>
      <c r="E27" s="86"/>
      <c r="F27" s="86"/>
      <c r="G27" s="86"/>
      <c r="H27" s="86"/>
      <c r="I27" s="86"/>
      <c r="J27" s="86"/>
      <c r="K27" s="86"/>
    </row>
    <row r="28" spans="3:11" ht="18.75" customHeight="1" x14ac:dyDescent="0.25">
      <c r="C28" s="86"/>
      <c r="D28" s="86"/>
      <c r="E28" s="86"/>
      <c r="F28" s="86"/>
      <c r="G28" s="86"/>
      <c r="H28" s="86"/>
      <c r="I28" s="86"/>
      <c r="J28" s="86"/>
      <c r="K28" s="86"/>
    </row>
    <row r="29" spans="3:11" ht="18.75" customHeight="1" x14ac:dyDescent="0.25">
      <c r="C29" s="86"/>
      <c r="D29" s="86"/>
      <c r="E29" s="86"/>
      <c r="F29" s="86"/>
      <c r="G29" s="86"/>
      <c r="H29" s="86"/>
      <c r="I29" s="86"/>
      <c r="J29" s="86"/>
      <c r="K29" s="86"/>
    </row>
    <row r="30" spans="3:11" x14ac:dyDescent="0.25">
      <c r="D30" s="18"/>
      <c r="E30" s="18"/>
      <c r="F30" s="18"/>
      <c r="G30" s="18"/>
      <c r="H30" s="18"/>
      <c r="I30" s="18"/>
      <c r="J30" s="18"/>
    </row>
  </sheetData>
  <sheetProtection password="EE61" sheet="1" objects="1" scenarios="1"/>
  <hyperlinks>
    <hyperlink ref="D2" location="'صفحه اصلی'!A1" display="صفحه اصلی"/>
  </hyperlink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O28"/>
  <sheetViews>
    <sheetView showGridLines="0" showRowColHeaders="0" rightToLeft="1" workbookViewId="0">
      <selection activeCell="D2" sqref="D2"/>
    </sheetView>
  </sheetViews>
  <sheetFormatPr defaultColWidth="9.140625" defaultRowHeight="15" x14ac:dyDescent="0.25"/>
  <cols>
    <col min="1" max="1" width="5.7109375" style="18" customWidth="1"/>
    <col min="2" max="2" width="4.7109375" style="18" customWidth="1"/>
    <col min="3" max="3" width="1" style="18" customWidth="1"/>
    <col min="4" max="4" width="14.7109375" style="18" customWidth="1"/>
    <col min="5" max="5" width="53.42578125" style="18" customWidth="1"/>
    <col min="6" max="6" width="14.7109375" style="18" customWidth="1"/>
    <col min="7" max="16384" width="9.140625" style="18"/>
  </cols>
  <sheetData>
    <row r="1" spans="4:15" ht="30" customHeight="1" x14ac:dyDescent="0.25"/>
    <row r="2" spans="4:15" ht="42" customHeight="1" x14ac:dyDescent="0.25">
      <c r="D2" s="144" t="s">
        <v>35</v>
      </c>
      <c r="E2" s="146" t="s">
        <v>20</v>
      </c>
      <c r="F2" s="145" t="s">
        <v>36</v>
      </c>
      <c r="G2" s="67"/>
      <c r="H2" s="67"/>
      <c r="I2" s="67"/>
    </row>
    <row r="3" spans="4:15" x14ac:dyDescent="0.25">
      <c r="E3" s="104"/>
      <c r="F3" s="104"/>
    </row>
    <row r="4" spans="4:15" ht="33" customHeight="1" x14ac:dyDescent="0.25">
      <c r="E4" s="171" t="s">
        <v>90</v>
      </c>
      <c r="F4" s="104"/>
    </row>
    <row r="5" spans="4:15" ht="33" customHeight="1" thickBot="1" x14ac:dyDescent="0.3">
      <c r="E5" s="164">
        <v>0</v>
      </c>
      <c r="F5" s="104"/>
    </row>
    <row r="6" spans="4:15" ht="33" customHeight="1" thickTop="1" thickBot="1" x14ac:dyDescent="0.3">
      <c r="E6" s="147" t="s">
        <v>32</v>
      </c>
      <c r="F6" s="104"/>
    </row>
    <row r="7" spans="4:15" ht="18.75" customHeight="1" thickTop="1" x14ac:dyDescent="0.25">
      <c r="E7" s="104" t="s">
        <v>87</v>
      </c>
      <c r="F7" s="104"/>
    </row>
    <row r="8" spans="4:15" ht="18.75" x14ac:dyDescent="0.25">
      <c r="E8" s="53">
        <f>E5*33.333333333334</f>
        <v>0</v>
      </c>
      <c r="F8" s="104"/>
    </row>
    <row r="9" spans="4:15" ht="17.25" customHeight="1" x14ac:dyDescent="0.25">
      <c r="E9" s="105" t="s">
        <v>86</v>
      </c>
      <c r="F9" s="104"/>
    </row>
    <row r="10" spans="4:15" ht="18.75" x14ac:dyDescent="0.25">
      <c r="E10" s="53">
        <f>E5*50</f>
        <v>0</v>
      </c>
      <c r="F10" s="104"/>
    </row>
    <row r="11" spans="4:15" x14ac:dyDescent="0.25">
      <c r="E11" s="104"/>
      <c r="F11" s="104"/>
    </row>
    <row r="12" spans="4:15" x14ac:dyDescent="0.25">
      <c r="E12" s="106"/>
      <c r="F12" s="106"/>
      <c r="G12" s="20"/>
      <c r="H12" s="20"/>
      <c r="I12" s="20"/>
      <c r="J12" s="20"/>
      <c r="K12" s="20"/>
      <c r="L12" s="20"/>
      <c r="M12" s="20"/>
      <c r="N12" s="20"/>
      <c r="O12" s="20"/>
    </row>
    <row r="13" spans="4:15" x14ac:dyDescent="0.25">
      <c r="E13" s="106"/>
      <c r="F13" s="106"/>
      <c r="G13" s="42"/>
      <c r="H13" s="42"/>
      <c r="I13" s="42"/>
      <c r="J13" s="42"/>
      <c r="K13" s="42"/>
      <c r="L13" s="42"/>
      <c r="M13" s="42"/>
      <c r="N13" s="42"/>
      <c r="O13" s="42"/>
    </row>
    <row r="14" spans="4:15" x14ac:dyDescent="0.25">
      <c r="E14" s="106"/>
      <c r="F14" s="106"/>
      <c r="G14" s="42"/>
      <c r="H14" s="42"/>
      <c r="I14" s="42"/>
      <c r="J14" s="42"/>
      <c r="K14" s="42"/>
      <c r="L14" s="42"/>
      <c r="M14" s="42"/>
      <c r="N14" s="42"/>
      <c r="O14" s="42"/>
    </row>
    <row r="15" spans="4:15" x14ac:dyDescent="0.25">
      <c r="E15" s="106"/>
      <c r="F15" s="106"/>
      <c r="G15" s="42"/>
      <c r="H15" s="42"/>
      <c r="I15" s="42"/>
      <c r="J15" s="42"/>
      <c r="K15" s="42"/>
      <c r="L15" s="42"/>
      <c r="M15" s="42"/>
      <c r="N15" s="42"/>
      <c r="O15" s="42"/>
    </row>
    <row r="16" spans="4:15" x14ac:dyDescent="0.25"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5:15" ht="15.75" customHeight="1" x14ac:dyDescent="0.25"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5:15" x14ac:dyDescent="0.25"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5:15" ht="21" customHeight="1" x14ac:dyDescent="0.25"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5:15" ht="18.75" customHeight="1" x14ac:dyDescent="0.25"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5:15" x14ac:dyDescent="0.25"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5:15" x14ac:dyDescent="0.25"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5:15" x14ac:dyDescent="0.25"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5:15" x14ac:dyDescent="0.25"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5:15" x14ac:dyDescent="0.25"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5:15" x14ac:dyDescent="0.25"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5:15" x14ac:dyDescent="0.25"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28" spans="5:15" x14ac:dyDescent="0.25"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</sheetData>
  <sheetProtection password="EE61" sheet="1" objects="1" scenarios="1"/>
  <hyperlinks>
    <hyperlink ref="D2" location="'صفحه اصلی'!A1" display="صفحه اصلی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showRowColHeaders="0" rightToLeft="1" zoomScaleNormal="100" workbookViewId="0">
      <selection activeCell="M3" sqref="M3:N3"/>
    </sheetView>
  </sheetViews>
  <sheetFormatPr defaultColWidth="9.140625" defaultRowHeight="15" x14ac:dyDescent="0.25"/>
  <cols>
    <col min="1" max="1" width="9.140625" style="18"/>
    <col min="2" max="2" width="2.5703125" style="18" customWidth="1"/>
    <col min="3" max="4" width="9.140625" style="18"/>
    <col min="5" max="5" width="9.140625" style="18" customWidth="1"/>
    <col min="6" max="6" width="3.5703125" style="18" customWidth="1"/>
    <col min="7" max="7" width="9.140625" style="18"/>
    <col min="8" max="8" width="3.42578125" style="18" customWidth="1"/>
    <col min="9" max="9" width="13.28515625" style="18" customWidth="1"/>
    <col min="10" max="10" width="13" style="18" customWidth="1"/>
    <col min="11" max="11" width="13.7109375" style="18" customWidth="1"/>
    <col min="12" max="12" width="11.140625" style="18" customWidth="1"/>
    <col min="13" max="13" width="16.28515625" style="18" customWidth="1"/>
    <col min="14" max="14" width="2.85546875" style="18" customWidth="1"/>
    <col min="15" max="16384" width="9.140625" style="18"/>
  </cols>
  <sheetData>
    <row r="1" spans="1:16" ht="30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" customHeight="1" x14ac:dyDescent="0.25">
      <c r="A2" s="91"/>
      <c r="B2" s="92"/>
      <c r="C2" s="92"/>
      <c r="D2" s="92"/>
      <c r="E2" s="283" t="s">
        <v>109</v>
      </c>
      <c r="F2" s="283"/>
      <c r="G2" s="283"/>
      <c r="H2" s="283"/>
      <c r="I2" s="283"/>
      <c r="J2" s="283"/>
      <c r="K2" s="283"/>
      <c r="L2" s="93"/>
      <c r="M2" s="93"/>
      <c r="N2" s="93"/>
      <c r="O2" s="94"/>
    </row>
    <row r="3" spans="1:16" ht="26.25" customHeight="1" x14ac:dyDescent="0.25">
      <c r="A3" s="91"/>
      <c r="B3" s="92"/>
      <c r="C3" s="92"/>
      <c r="D3" s="92"/>
      <c r="E3" s="283"/>
      <c r="F3" s="283"/>
      <c r="G3" s="283"/>
      <c r="H3" s="283"/>
      <c r="I3" s="283"/>
      <c r="J3" s="283"/>
      <c r="K3" s="283"/>
      <c r="L3" s="93"/>
      <c r="M3" s="292" t="s">
        <v>35</v>
      </c>
      <c r="N3" s="293"/>
      <c r="O3" s="20"/>
    </row>
    <row r="4" spans="1:16" ht="10.5" customHeight="1" x14ac:dyDescent="0.25">
      <c r="A4" s="91"/>
      <c r="B4" s="92"/>
      <c r="C4" s="92"/>
      <c r="D4" s="92"/>
      <c r="E4" s="283"/>
      <c r="F4" s="283"/>
      <c r="G4" s="283"/>
      <c r="H4" s="283"/>
      <c r="I4" s="283"/>
      <c r="J4" s="283"/>
      <c r="K4" s="283"/>
      <c r="L4" s="93"/>
      <c r="M4" s="93"/>
      <c r="N4" s="93"/>
      <c r="O4" s="94"/>
    </row>
    <row r="5" spans="1:16" x14ac:dyDescent="0.25">
      <c r="A5" s="91"/>
      <c r="B5" s="5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8"/>
      <c r="O5" s="94"/>
    </row>
    <row r="6" spans="1:16" x14ac:dyDescent="0.25">
      <c r="A6" s="91"/>
      <c r="B6" s="55"/>
      <c r="C6" s="95" t="s">
        <v>110</v>
      </c>
      <c r="D6" s="294" t="s">
        <v>10</v>
      </c>
      <c r="E6" s="295"/>
      <c r="F6" s="295"/>
      <c r="G6" s="295"/>
      <c r="H6" s="296"/>
      <c r="I6" s="95" t="s">
        <v>111</v>
      </c>
      <c r="J6" s="95" t="s">
        <v>114</v>
      </c>
      <c r="K6" s="81" t="s">
        <v>115</v>
      </c>
      <c r="L6" s="81" t="s">
        <v>113</v>
      </c>
      <c r="M6" s="47" t="s">
        <v>112</v>
      </c>
      <c r="N6" s="38"/>
      <c r="O6" s="94"/>
    </row>
    <row r="7" spans="1:16" ht="20.100000000000001" customHeight="1" x14ac:dyDescent="0.25">
      <c r="A7" s="91"/>
      <c r="C7" s="150">
        <v>1</v>
      </c>
      <c r="D7" s="284" t="s">
        <v>116</v>
      </c>
      <c r="E7" s="285"/>
      <c r="F7" s="285"/>
      <c r="G7" s="285"/>
      <c r="H7" s="286"/>
      <c r="I7" s="151" t="s">
        <v>124</v>
      </c>
      <c r="J7" s="152" t="s">
        <v>129</v>
      </c>
      <c r="K7" s="153" t="s">
        <v>126</v>
      </c>
      <c r="L7" s="153">
        <v>0</v>
      </c>
      <c r="M7" s="154" t="s">
        <v>127</v>
      </c>
      <c r="N7" s="20"/>
      <c r="O7" s="94"/>
    </row>
    <row r="8" spans="1:16" ht="20.100000000000001" customHeight="1" x14ac:dyDescent="0.25">
      <c r="A8" s="91"/>
      <c r="C8" s="155">
        <v>2</v>
      </c>
      <c r="D8" s="287" t="s">
        <v>117</v>
      </c>
      <c r="E8" s="288"/>
      <c r="F8" s="288"/>
      <c r="G8" s="288"/>
      <c r="H8" s="289"/>
      <c r="I8" s="156" t="s">
        <v>124</v>
      </c>
      <c r="J8" s="157" t="s">
        <v>129</v>
      </c>
      <c r="K8" s="158" t="s">
        <v>126</v>
      </c>
      <c r="L8" s="159"/>
      <c r="M8" s="159" t="s">
        <v>127</v>
      </c>
      <c r="N8" s="20"/>
      <c r="O8" s="94"/>
    </row>
    <row r="9" spans="1:16" ht="20.100000000000001" customHeight="1" x14ac:dyDescent="0.25">
      <c r="A9" s="91"/>
      <c r="C9" s="150">
        <v>3</v>
      </c>
      <c r="D9" s="284" t="s">
        <v>118</v>
      </c>
      <c r="E9" s="285"/>
      <c r="F9" s="285"/>
      <c r="G9" s="285"/>
      <c r="H9" s="286"/>
      <c r="I9" s="152" t="s">
        <v>120</v>
      </c>
      <c r="J9" s="152" t="s">
        <v>129</v>
      </c>
      <c r="K9" s="153" t="s">
        <v>126</v>
      </c>
      <c r="L9" s="153"/>
      <c r="M9" s="154" t="s">
        <v>127</v>
      </c>
      <c r="N9" s="20"/>
      <c r="O9" s="94"/>
    </row>
    <row r="10" spans="1:16" ht="20.100000000000001" customHeight="1" x14ac:dyDescent="0.25">
      <c r="A10" s="91"/>
      <c r="C10" s="155">
        <v>4</v>
      </c>
      <c r="D10" s="287" t="s">
        <v>119</v>
      </c>
      <c r="E10" s="288"/>
      <c r="F10" s="288"/>
      <c r="G10" s="288"/>
      <c r="H10" s="289"/>
      <c r="I10" s="157" t="s">
        <v>120</v>
      </c>
      <c r="J10" s="157" t="s">
        <v>129</v>
      </c>
      <c r="K10" s="158" t="s">
        <v>126</v>
      </c>
      <c r="L10" s="158" t="s">
        <v>126</v>
      </c>
      <c r="M10" s="159" t="s">
        <v>127</v>
      </c>
      <c r="N10" s="20"/>
      <c r="O10" s="94"/>
    </row>
    <row r="11" spans="1:16" ht="67.5" customHeight="1" x14ac:dyDescent="0.25">
      <c r="A11" s="91"/>
      <c r="C11" s="150">
        <v>5</v>
      </c>
      <c r="D11" s="290" t="s">
        <v>121</v>
      </c>
      <c r="E11" s="227"/>
      <c r="F11" s="227"/>
      <c r="G11" s="227"/>
      <c r="H11" s="228"/>
      <c r="I11" s="152" t="s">
        <v>122</v>
      </c>
      <c r="J11" s="153" t="s">
        <v>123</v>
      </c>
      <c r="K11" s="153" t="s">
        <v>124</v>
      </c>
      <c r="L11" s="153">
        <v>0</v>
      </c>
      <c r="M11" s="154" t="s">
        <v>127</v>
      </c>
      <c r="N11" s="20"/>
      <c r="O11" s="94"/>
    </row>
    <row r="12" spans="1:16" ht="49.5" customHeight="1" x14ac:dyDescent="0.25">
      <c r="A12" s="91"/>
      <c r="C12" s="155">
        <v>6</v>
      </c>
      <c r="D12" s="291" t="s">
        <v>125</v>
      </c>
      <c r="E12" s="288"/>
      <c r="F12" s="288"/>
      <c r="G12" s="288"/>
      <c r="H12" s="289"/>
      <c r="I12" s="156" t="s">
        <v>124</v>
      </c>
      <c r="J12" s="159">
        <v>0</v>
      </c>
      <c r="K12" s="159" t="s">
        <v>126</v>
      </c>
      <c r="L12" s="159">
        <v>0</v>
      </c>
      <c r="M12" s="159" t="s">
        <v>127</v>
      </c>
      <c r="N12" s="20"/>
      <c r="O12" s="94"/>
    </row>
    <row r="13" spans="1:16" ht="20.100000000000001" customHeight="1" x14ac:dyDescent="0.25">
      <c r="A13" s="91"/>
      <c r="C13" s="150">
        <v>7</v>
      </c>
      <c r="D13" s="284" t="s">
        <v>128</v>
      </c>
      <c r="E13" s="285"/>
      <c r="F13" s="285"/>
      <c r="G13" s="285"/>
      <c r="H13" s="286"/>
      <c r="I13" s="152" t="s">
        <v>129</v>
      </c>
      <c r="J13" s="153" t="s">
        <v>126</v>
      </c>
      <c r="K13" s="153" t="s">
        <v>126</v>
      </c>
      <c r="L13" s="153">
        <v>0</v>
      </c>
      <c r="M13" s="154" t="s">
        <v>127</v>
      </c>
      <c r="N13" s="20"/>
      <c r="O13" s="94"/>
    </row>
    <row r="14" spans="1:16" ht="20.100000000000001" customHeight="1" x14ac:dyDescent="0.25">
      <c r="A14" s="91"/>
      <c r="C14" s="155">
        <v>8</v>
      </c>
      <c r="D14" s="287" t="s">
        <v>130</v>
      </c>
      <c r="E14" s="288"/>
      <c r="F14" s="288"/>
      <c r="G14" s="288"/>
      <c r="H14" s="289"/>
      <c r="I14" s="156" t="s">
        <v>124</v>
      </c>
      <c r="J14" s="158" t="s">
        <v>126</v>
      </c>
      <c r="K14" s="158" t="s">
        <v>126</v>
      </c>
      <c r="L14" s="158" t="s">
        <v>126</v>
      </c>
      <c r="M14" s="159" t="s">
        <v>127</v>
      </c>
      <c r="N14" s="20"/>
      <c r="O14" s="94"/>
    </row>
    <row r="15" spans="1:16" ht="20.100000000000001" customHeight="1" x14ac:dyDescent="0.25">
      <c r="A15" s="91"/>
      <c r="C15" s="150">
        <v>9</v>
      </c>
      <c r="D15" s="284" t="s">
        <v>131</v>
      </c>
      <c r="E15" s="285"/>
      <c r="F15" s="285"/>
      <c r="G15" s="285"/>
      <c r="H15" s="286"/>
      <c r="I15" s="151" t="s">
        <v>124</v>
      </c>
      <c r="J15" s="152" t="s">
        <v>129</v>
      </c>
      <c r="K15" s="153" t="s">
        <v>126</v>
      </c>
      <c r="L15" s="153">
        <v>0</v>
      </c>
      <c r="M15" s="154" t="s">
        <v>127</v>
      </c>
      <c r="N15" s="20"/>
      <c r="O15" s="94"/>
    </row>
    <row r="16" spans="1:16" ht="20.100000000000001" customHeight="1" x14ac:dyDescent="0.25">
      <c r="A16" s="91"/>
      <c r="C16" s="155">
        <v>10</v>
      </c>
      <c r="D16" s="287"/>
      <c r="E16" s="288"/>
      <c r="F16" s="288"/>
      <c r="G16" s="288"/>
      <c r="H16" s="289"/>
      <c r="I16" s="156"/>
      <c r="J16" s="159"/>
      <c r="K16" s="159"/>
      <c r="L16" s="159"/>
      <c r="M16" s="159"/>
      <c r="N16" s="20"/>
      <c r="O16" s="94"/>
    </row>
    <row r="17" spans="1:15" ht="15.75" x14ac:dyDescent="0.25">
      <c r="A17" s="91"/>
      <c r="C17" s="96"/>
      <c r="D17" s="96"/>
      <c r="E17" s="96"/>
      <c r="F17" s="96"/>
      <c r="G17" s="96"/>
      <c r="H17" s="96"/>
      <c r="I17" s="96"/>
      <c r="J17" s="13"/>
      <c r="K17" s="13"/>
      <c r="L17" s="13"/>
      <c r="M17" s="13"/>
      <c r="N17" s="20"/>
      <c r="O17" s="94"/>
    </row>
    <row r="18" spans="1:15" ht="15.75" x14ac:dyDescent="0.25">
      <c r="A18" s="91"/>
      <c r="C18" s="96"/>
      <c r="D18" s="96"/>
      <c r="E18" s="96"/>
      <c r="F18" s="96"/>
      <c r="G18" s="96"/>
      <c r="H18" s="96"/>
      <c r="I18" s="96"/>
      <c r="J18" s="13"/>
      <c r="K18" s="13"/>
      <c r="L18" s="13"/>
      <c r="M18" s="13"/>
      <c r="N18" s="20"/>
      <c r="O18" s="94"/>
    </row>
    <row r="19" spans="1:15" ht="15.75" x14ac:dyDescent="0.25">
      <c r="A19" s="20"/>
      <c r="B19" s="20"/>
      <c r="C19" s="96"/>
      <c r="D19" s="96"/>
      <c r="E19" s="96"/>
      <c r="F19" s="96"/>
      <c r="G19" s="96"/>
      <c r="H19" s="96"/>
      <c r="I19" s="96"/>
      <c r="J19" s="13"/>
      <c r="K19" s="13"/>
      <c r="L19" s="13"/>
      <c r="M19" s="13"/>
      <c r="N19" s="20"/>
      <c r="O19" s="20"/>
    </row>
    <row r="20" spans="1:15" ht="15.75" x14ac:dyDescent="0.25">
      <c r="A20" s="20"/>
      <c r="B20" s="20"/>
      <c r="C20" s="96"/>
      <c r="D20" s="96"/>
      <c r="E20" s="96"/>
      <c r="F20" s="96"/>
      <c r="G20" s="96"/>
      <c r="H20" s="96"/>
      <c r="I20" s="96"/>
      <c r="J20" s="13"/>
      <c r="K20" s="13"/>
      <c r="L20" s="13"/>
      <c r="M20" s="13"/>
      <c r="N20" s="20"/>
      <c r="O20" s="20"/>
    </row>
    <row r="21" spans="1:15" ht="18.75" x14ac:dyDescent="0.25">
      <c r="A21" s="20"/>
      <c r="B21" s="20"/>
      <c r="C21" s="97"/>
      <c r="D21" s="97"/>
      <c r="E21" s="97"/>
      <c r="F21" s="97"/>
      <c r="G21" s="97"/>
      <c r="H21" s="97"/>
      <c r="I21" s="97"/>
      <c r="J21" s="13"/>
      <c r="K21" s="13"/>
      <c r="L21" s="13"/>
      <c r="M21" s="13"/>
      <c r="N21" s="20"/>
      <c r="O21" s="20"/>
    </row>
    <row r="22" spans="1:15" ht="18.75" x14ac:dyDescent="0.25">
      <c r="A22" s="20"/>
      <c r="B22" s="20"/>
      <c r="C22" s="97"/>
      <c r="D22" s="97"/>
      <c r="E22" s="97"/>
      <c r="F22" s="97"/>
      <c r="G22" s="97"/>
      <c r="H22" s="97"/>
      <c r="I22" s="97"/>
      <c r="J22" s="98"/>
      <c r="K22" s="98"/>
      <c r="L22" s="98"/>
      <c r="M22" s="98"/>
      <c r="N22" s="20"/>
      <c r="O22" s="20"/>
    </row>
    <row r="23" spans="1:15" ht="21" x14ac:dyDescent="0.35">
      <c r="A23" s="20"/>
      <c r="B23" s="20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20"/>
      <c r="O23" s="20"/>
    </row>
    <row r="24" spans="1:15" ht="15.75" x14ac:dyDescent="0.25">
      <c r="A24" s="20"/>
      <c r="B24" s="2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20"/>
      <c r="O24" s="20"/>
    </row>
    <row r="25" spans="1:15" ht="15.75" x14ac:dyDescent="0.25">
      <c r="A25" s="20"/>
      <c r="B25" s="20"/>
      <c r="C25" s="96"/>
      <c r="D25" s="96"/>
      <c r="E25" s="96"/>
      <c r="F25" s="96"/>
      <c r="G25" s="96"/>
      <c r="H25" s="96"/>
      <c r="I25" s="96"/>
      <c r="J25" s="13"/>
      <c r="K25" s="13"/>
      <c r="L25" s="13"/>
      <c r="M25" s="13"/>
      <c r="N25" s="20"/>
      <c r="O25" s="20"/>
    </row>
    <row r="26" spans="1:15" ht="18.75" x14ac:dyDescent="0.25">
      <c r="A26" s="20"/>
      <c r="B26" s="20"/>
      <c r="C26" s="97"/>
      <c r="D26" s="97"/>
      <c r="E26" s="97"/>
      <c r="F26" s="97"/>
      <c r="G26" s="97"/>
      <c r="H26" s="97"/>
      <c r="I26" s="97"/>
      <c r="J26" s="13"/>
      <c r="K26" s="13"/>
      <c r="L26" s="13"/>
      <c r="M26" s="13"/>
      <c r="N26" s="20"/>
      <c r="O26" s="20"/>
    </row>
    <row r="27" spans="1:15" ht="15.75" x14ac:dyDescent="0.25">
      <c r="A27" s="20"/>
      <c r="B27" s="20"/>
      <c r="C27" s="96"/>
      <c r="D27" s="96"/>
      <c r="E27" s="96"/>
      <c r="F27" s="96"/>
      <c r="G27" s="96"/>
      <c r="H27" s="96"/>
      <c r="I27" s="96"/>
      <c r="J27" s="13"/>
      <c r="K27" s="13"/>
      <c r="L27" s="13"/>
      <c r="M27" s="13"/>
      <c r="N27" s="20"/>
      <c r="O27" s="20"/>
    </row>
    <row r="28" spans="1:15" ht="15.75" x14ac:dyDescent="0.25">
      <c r="A28" s="20"/>
      <c r="B28" s="20"/>
      <c r="C28" s="96"/>
      <c r="D28" s="96"/>
      <c r="E28" s="96"/>
      <c r="F28" s="96"/>
      <c r="G28" s="96"/>
      <c r="H28" s="96"/>
      <c r="I28" s="96"/>
      <c r="J28" s="13"/>
      <c r="K28" s="13"/>
      <c r="L28" s="13"/>
      <c r="M28" s="13"/>
      <c r="N28" s="20"/>
      <c r="O28" s="20"/>
    </row>
    <row r="29" spans="1:15" ht="18" customHeight="1" x14ac:dyDescent="0.25">
      <c r="A29" s="20"/>
      <c r="B29" s="20"/>
      <c r="C29" s="101"/>
      <c r="D29" s="101"/>
      <c r="E29" s="101"/>
      <c r="F29" s="101"/>
      <c r="G29" s="101"/>
      <c r="H29" s="101"/>
      <c r="I29" s="101"/>
      <c r="J29" s="77"/>
      <c r="K29" s="77"/>
      <c r="L29" s="77"/>
      <c r="M29" s="77"/>
      <c r="N29" s="20"/>
      <c r="O29" s="20"/>
    </row>
    <row r="30" spans="1:15" ht="21" x14ac:dyDescent="0.35">
      <c r="A30" s="20"/>
      <c r="B30" s="2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20"/>
      <c r="O30" s="20"/>
    </row>
    <row r="31" spans="1:15" ht="15.75" x14ac:dyDescent="0.25">
      <c r="A31" s="20"/>
      <c r="B31" s="2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20"/>
      <c r="O31" s="20"/>
    </row>
    <row r="32" spans="1:15" ht="14.25" customHeight="1" x14ac:dyDescent="0.25">
      <c r="A32" s="20"/>
      <c r="B32" s="20"/>
      <c r="C32" s="96"/>
      <c r="D32" s="96"/>
      <c r="E32" s="96"/>
      <c r="F32" s="96"/>
      <c r="G32" s="96"/>
      <c r="H32" s="96"/>
      <c r="I32" s="96"/>
      <c r="J32" s="102"/>
      <c r="K32" s="103"/>
      <c r="L32" s="103"/>
      <c r="M32" s="103"/>
      <c r="N32" s="20"/>
      <c r="O32" s="20"/>
    </row>
    <row r="33" spans="1:15" ht="15.75" x14ac:dyDescent="0.25">
      <c r="A33" s="20"/>
      <c r="B33" s="20"/>
      <c r="C33" s="96"/>
      <c r="D33" s="96"/>
      <c r="E33" s="96"/>
      <c r="F33" s="96"/>
      <c r="G33" s="96"/>
      <c r="H33" s="96"/>
      <c r="I33" s="96"/>
      <c r="J33" s="13"/>
      <c r="K33" s="13"/>
      <c r="L33" s="13"/>
      <c r="M33" s="13"/>
      <c r="N33" s="20"/>
      <c r="O33" s="20"/>
    </row>
    <row r="34" spans="1:15" ht="15.75" x14ac:dyDescent="0.25">
      <c r="A34" s="20"/>
      <c r="B34" s="20"/>
      <c r="C34" s="96"/>
      <c r="D34" s="96"/>
      <c r="E34" s="96"/>
      <c r="F34" s="96"/>
      <c r="G34" s="96"/>
      <c r="H34" s="96"/>
      <c r="I34" s="96"/>
      <c r="J34" s="13"/>
      <c r="K34" s="13"/>
      <c r="L34" s="13"/>
      <c r="M34" s="13"/>
      <c r="N34" s="20"/>
      <c r="O34" s="20"/>
    </row>
    <row r="35" spans="1:15" ht="15.75" x14ac:dyDescent="0.25">
      <c r="A35" s="20"/>
      <c r="B35" s="20"/>
      <c r="C35" s="96"/>
      <c r="D35" s="96"/>
      <c r="E35" s="96"/>
      <c r="F35" s="96"/>
      <c r="G35" s="96"/>
      <c r="H35" s="96"/>
      <c r="I35" s="96"/>
      <c r="J35" s="13"/>
      <c r="K35" s="13"/>
      <c r="L35" s="13"/>
      <c r="M35" s="13"/>
      <c r="N35" s="20"/>
      <c r="O35" s="20"/>
    </row>
    <row r="36" spans="1:15" ht="15.75" x14ac:dyDescent="0.25">
      <c r="A36" s="20"/>
      <c r="B36" s="20"/>
      <c r="C36" s="96"/>
      <c r="D36" s="96"/>
      <c r="E36" s="96"/>
      <c r="F36" s="96"/>
      <c r="G36" s="96"/>
      <c r="H36" s="96"/>
      <c r="I36" s="96"/>
      <c r="J36" s="13"/>
      <c r="K36" s="13"/>
      <c r="L36" s="13"/>
      <c r="M36" s="13"/>
      <c r="N36" s="20"/>
      <c r="O36" s="20"/>
    </row>
    <row r="37" spans="1:15" ht="15.75" x14ac:dyDescent="0.25">
      <c r="A37" s="20"/>
      <c r="B37" s="20"/>
      <c r="C37" s="96"/>
      <c r="D37" s="96"/>
      <c r="E37" s="96"/>
      <c r="F37" s="96"/>
      <c r="G37" s="96"/>
      <c r="H37" s="96"/>
      <c r="I37" s="96"/>
      <c r="J37" s="13"/>
      <c r="K37" s="13"/>
      <c r="L37" s="13"/>
      <c r="M37" s="13"/>
      <c r="N37" s="20"/>
      <c r="O37" s="20"/>
    </row>
    <row r="38" spans="1:15" ht="15.75" x14ac:dyDescent="0.25">
      <c r="A38" s="20"/>
      <c r="B38" s="20"/>
      <c r="C38" s="96"/>
      <c r="D38" s="96"/>
      <c r="E38" s="96"/>
      <c r="F38" s="96"/>
      <c r="G38" s="96"/>
      <c r="H38" s="96"/>
      <c r="I38" s="96"/>
      <c r="J38" s="13"/>
      <c r="K38" s="13"/>
      <c r="L38" s="13"/>
      <c r="M38" s="13"/>
      <c r="N38" s="20"/>
      <c r="O38" s="20"/>
    </row>
    <row r="39" spans="1:15" ht="21" x14ac:dyDescent="0.35">
      <c r="A39" s="20"/>
      <c r="B39" s="20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20"/>
      <c r="O39" s="20"/>
    </row>
    <row r="40" spans="1:15" ht="15.75" x14ac:dyDescent="0.25">
      <c r="A40" s="20"/>
      <c r="B40" s="2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20"/>
      <c r="O40" s="20"/>
    </row>
    <row r="41" spans="1:15" ht="15.75" x14ac:dyDescent="0.25">
      <c r="A41" s="20"/>
      <c r="B41" s="20"/>
      <c r="C41" s="96"/>
      <c r="D41" s="96"/>
      <c r="E41" s="96"/>
      <c r="F41" s="96"/>
      <c r="G41" s="96"/>
      <c r="H41" s="96"/>
      <c r="I41" s="96"/>
      <c r="J41" s="13"/>
      <c r="K41" s="13"/>
      <c r="L41" s="13"/>
      <c r="M41" s="13"/>
      <c r="N41" s="20"/>
      <c r="O41" s="20"/>
    </row>
    <row r="42" spans="1:15" ht="15.75" x14ac:dyDescent="0.25">
      <c r="A42" s="20"/>
      <c r="B42" s="20"/>
      <c r="C42" s="96"/>
      <c r="D42" s="96"/>
      <c r="E42" s="96"/>
      <c r="F42" s="96"/>
      <c r="G42" s="96"/>
      <c r="H42" s="96"/>
      <c r="I42" s="96"/>
      <c r="J42" s="13"/>
      <c r="K42" s="13"/>
      <c r="L42" s="13"/>
      <c r="M42" s="13"/>
      <c r="N42" s="20"/>
      <c r="O42" s="20"/>
    </row>
    <row r="43" spans="1:15" ht="15.75" x14ac:dyDescent="0.25">
      <c r="A43" s="20"/>
      <c r="B43" s="20"/>
      <c r="C43" s="96"/>
      <c r="D43" s="96"/>
      <c r="E43" s="96"/>
      <c r="F43" s="96"/>
      <c r="G43" s="96"/>
      <c r="H43" s="96"/>
      <c r="I43" s="96"/>
      <c r="J43" s="13"/>
      <c r="K43" s="13"/>
      <c r="L43" s="13"/>
      <c r="M43" s="13"/>
      <c r="N43" s="20"/>
      <c r="O43" s="20"/>
    </row>
    <row r="44" spans="1:15" ht="15.75" x14ac:dyDescent="0.25">
      <c r="A44" s="20"/>
      <c r="B44" s="20"/>
      <c r="C44" s="96"/>
      <c r="D44" s="96"/>
      <c r="E44" s="96"/>
      <c r="F44" s="96"/>
      <c r="G44" s="96"/>
      <c r="H44" s="96"/>
      <c r="I44" s="96"/>
      <c r="J44" s="13"/>
      <c r="K44" s="13"/>
      <c r="L44" s="13"/>
      <c r="M44" s="13"/>
      <c r="N44" s="20"/>
      <c r="O44" s="20"/>
    </row>
    <row r="45" spans="1:15" ht="15.75" x14ac:dyDescent="0.25">
      <c r="A45" s="20"/>
      <c r="B45" s="20"/>
      <c r="C45" s="281"/>
      <c r="D45" s="281"/>
      <c r="E45" s="281"/>
      <c r="F45" s="281"/>
      <c r="G45" s="281"/>
      <c r="H45" s="281"/>
      <c r="I45" s="281"/>
      <c r="J45" s="282"/>
      <c r="K45" s="282"/>
      <c r="L45" s="282"/>
      <c r="M45" s="282"/>
      <c r="N45" s="20"/>
      <c r="O45" s="20"/>
    </row>
    <row r="46" spans="1:15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</sheetData>
  <sheetProtection algorithmName="SHA-512" hashValue="CmPMlfEbIyBNpHv0/kf0WoskNUZ14zU5YUMDAjjP7/L/jWudT0UhMIU/KkkUcLfmp2hGeUCMhmK9eHht6HfCgg==" saltValue="/hJSFtufu6puev7luu7Vdw==" spinCount="100000" sheet="1" objects="1" scenarios="1"/>
  <mergeCells count="15">
    <mergeCell ref="C45:I45"/>
    <mergeCell ref="J45:M45"/>
    <mergeCell ref="E2:K4"/>
    <mergeCell ref="D7:H7"/>
    <mergeCell ref="D8:H8"/>
    <mergeCell ref="D9:H9"/>
    <mergeCell ref="D10:H10"/>
    <mergeCell ref="D14:H14"/>
    <mergeCell ref="D15:H15"/>
    <mergeCell ref="D16:H16"/>
    <mergeCell ref="D11:H11"/>
    <mergeCell ref="D12:H12"/>
    <mergeCell ref="D13:H13"/>
    <mergeCell ref="M3:N3"/>
    <mergeCell ref="D6:H6"/>
  </mergeCells>
  <hyperlinks>
    <hyperlink ref="M3:N3" location="'صفحه اصلی'!A1" display="صفحه اصلی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صفحه اصلی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Sadegh AllahYari</cp:lastModifiedBy>
  <cp:lastPrinted>2025-05-12T08:26:30Z</cp:lastPrinted>
  <dcterms:created xsi:type="dcterms:W3CDTF">2024-11-19T14:31:56Z</dcterms:created>
  <dcterms:modified xsi:type="dcterms:W3CDTF">2026-04-12T15:56:44Z</dcterms:modified>
</cp:coreProperties>
</file>